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19440" windowHeight="8655" firstSheet="3" activeTab="3"/>
  </bookViews>
  <sheets>
    <sheet name="Лист1" sheetId="1" state="hidden" r:id="rId1"/>
    <sheet name="Лист2" sheetId="2" state="hidden" r:id="rId2"/>
    <sheet name="Лист3" sheetId="3" state="hidden" r:id="rId3"/>
    <sheet name="ПДЗ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Лист1!$A$10:$V$42</definedName>
    <definedName name="_xlnm._FilterDatabase" localSheetId="3" hidden="1">ПДЗ!$A$10:$M$11</definedName>
    <definedName name="_xlnm.Print_Area" localSheetId="0">Лист1!$A$1:$W$56</definedName>
    <definedName name="_xlnm.Print_Area" localSheetId="3">ПДЗ!$A$1:$M$24</definedName>
  </definedNames>
  <calcPr calcId="144525"/>
</workbook>
</file>

<file path=xl/calcChain.xml><?xml version="1.0" encoding="utf-8"?>
<calcChain xmlns="http://schemas.openxmlformats.org/spreadsheetml/2006/main">
  <c r="L21" i="1" l="1"/>
  <c r="L24" i="1"/>
  <c r="L29" i="1"/>
  <c r="L35" i="1"/>
  <c r="L33" i="1"/>
  <c r="L32" i="1"/>
  <c r="L31" i="1"/>
  <c r="L30" i="1"/>
  <c r="L28" i="1"/>
  <c r="L27" i="1"/>
  <c r="L20" i="1"/>
  <c r="L19" i="1"/>
  <c r="L16" i="1"/>
  <c r="L15" i="1"/>
  <c r="L38" i="1"/>
  <c r="L34" i="1"/>
  <c r="L39" i="1" l="1"/>
  <c r="L42" i="1"/>
  <c r="L41" i="1"/>
  <c r="L40" i="1"/>
  <c r="L18" i="1"/>
  <c r="L17" i="1"/>
  <c r="U17" i="1" s="1"/>
  <c r="L14" i="1"/>
  <c r="U14" i="1" s="1"/>
  <c r="L13" i="1"/>
  <c r="U18" i="1"/>
  <c r="U13" i="1"/>
  <c r="L37" i="1"/>
  <c r="L22" i="1"/>
  <c r="L36" i="1"/>
  <c r="L23" i="1"/>
  <c r="L12" i="1" l="1"/>
  <c r="L11" i="1" l="1"/>
  <c r="K26" i="1" l="1"/>
  <c r="J12" i="1" l="1"/>
  <c r="K12" i="1" s="1"/>
  <c r="J13" i="1"/>
  <c r="K13" i="1" s="1"/>
  <c r="J14" i="1"/>
  <c r="K14" i="1" s="1"/>
  <c r="J15" i="1"/>
  <c r="K15" i="1" s="1"/>
  <c r="J17" i="1"/>
  <c r="K17" i="1" s="1"/>
  <c r="J18" i="1"/>
  <c r="K18" i="1" s="1"/>
  <c r="J20" i="1"/>
  <c r="K20" i="1" s="1"/>
  <c r="J21" i="1"/>
  <c r="K21" i="1" s="1"/>
  <c r="J22" i="1"/>
  <c r="K22" i="1" s="1"/>
  <c r="J23" i="1"/>
  <c r="K23" i="1" s="1"/>
  <c r="J24" i="1"/>
  <c r="K24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25" i="1" l="1"/>
  <c r="K25" i="1" s="1"/>
  <c r="J19" i="1"/>
  <c r="K19" i="1" s="1"/>
  <c r="J16" i="1"/>
  <c r="K16" i="1" s="1"/>
  <c r="Q42" i="1" l="1"/>
  <c r="Q41" i="1"/>
  <c r="Q40" i="1"/>
  <c r="O42" i="1"/>
  <c r="O41" i="1"/>
  <c r="O40" i="1"/>
  <c r="P42" i="1"/>
  <c r="P41" i="1"/>
  <c r="P40" i="1"/>
  <c r="Q38" i="1" l="1"/>
  <c r="P38" i="1"/>
  <c r="O38" i="1"/>
  <c r="O37" i="1"/>
  <c r="Q37" i="1"/>
  <c r="P37" i="1"/>
  <c r="Q36" i="1"/>
  <c r="P36" i="1"/>
  <c r="O36" i="1"/>
  <c r="Q11" i="1" l="1"/>
  <c r="P11" i="1"/>
  <c r="Q39" i="1" l="1"/>
  <c r="P39" i="1"/>
  <c r="O39" i="1"/>
  <c r="O12" i="1"/>
  <c r="Q35" i="1" l="1"/>
  <c r="T35" i="1" s="1"/>
  <c r="P35" i="1"/>
  <c r="S35" i="1" s="1"/>
  <c r="O35" i="1"/>
  <c r="R35" i="1" s="1"/>
  <c r="Q34" i="1"/>
  <c r="P34" i="1"/>
  <c r="S34" i="1" s="1"/>
  <c r="O34" i="1"/>
  <c r="R34" i="1" s="1"/>
  <c r="Q33" i="1"/>
  <c r="T33" i="1" s="1"/>
  <c r="P33" i="1"/>
  <c r="S33" i="1" s="1"/>
  <c r="O33" i="1"/>
  <c r="R33" i="1" s="1"/>
  <c r="Q32" i="1"/>
  <c r="T32" i="1" s="1"/>
  <c r="P32" i="1"/>
  <c r="S32" i="1" s="1"/>
  <c r="O32" i="1"/>
  <c r="R32" i="1" s="1"/>
  <c r="Q31" i="1"/>
  <c r="T31" i="1" s="1"/>
  <c r="P31" i="1"/>
  <c r="S31" i="1" s="1"/>
  <c r="O31" i="1"/>
  <c r="R31" i="1" s="1"/>
  <c r="Q30" i="1"/>
  <c r="T30" i="1" s="1"/>
  <c r="P30" i="1"/>
  <c r="S30" i="1" s="1"/>
  <c r="O30" i="1"/>
  <c r="R30" i="1" s="1"/>
  <c r="Q29" i="1"/>
  <c r="T29" i="1" s="1"/>
  <c r="P29" i="1"/>
  <c r="S29" i="1" s="1"/>
  <c r="O29" i="1"/>
  <c r="R29" i="1" s="1"/>
  <c r="Q28" i="1"/>
  <c r="T28" i="1" s="1"/>
  <c r="P28" i="1"/>
  <c r="S28" i="1" s="1"/>
  <c r="O28" i="1"/>
  <c r="R28" i="1" s="1"/>
  <c r="Q27" i="1"/>
  <c r="T27" i="1" s="1"/>
  <c r="P27" i="1"/>
  <c r="S27" i="1" s="1"/>
  <c r="O27" i="1"/>
  <c r="R27" i="1" s="1"/>
  <c r="Q25" i="1"/>
  <c r="P25" i="1"/>
  <c r="S25" i="1" s="1"/>
  <c r="O25" i="1"/>
  <c r="R25" i="1" s="1"/>
  <c r="Q24" i="1"/>
  <c r="T24" i="1" s="1"/>
  <c r="P24" i="1"/>
  <c r="S24" i="1" s="1"/>
  <c r="O24" i="1"/>
  <c r="R24" i="1" s="1"/>
  <c r="O23" i="1"/>
  <c r="R23" i="1" s="1"/>
  <c r="P23" i="1"/>
  <c r="S23" i="1" s="1"/>
  <c r="Q23" i="1"/>
  <c r="T23" i="1" s="1"/>
  <c r="Q22" i="1"/>
  <c r="T22" i="1" s="1"/>
  <c r="P22" i="1"/>
  <c r="S22" i="1" s="1"/>
  <c r="O22" i="1"/>
  <c r="R22" i="1" s="1"/>
  <c r="Q21" i="1"/>
  <c r="T21" i="1" s="1"/>
  <c r="P21" i="1"/>
  <c r="S21" i="1" s="1"/>
  <c r="O21" i="1"/>
  <c r="R21" i="1" s="1"/>
  <c r="Q20" i="1"/>
  <c r="T20" i="1" s="1"/>
  <c r="P20" i="1"/>
  <c r="S20" i="1" s="1"/>
  <c r="O20" i="1"/>
  <c r="R20" i="1" s="1"/>
  <c r="Q19" i="1"/>
  <c r="T19" i="1" s="1"/>
  <c r="P19" i="1"/>
  <c r="S19" i="1" s="1"/>
  <c r="O19" i="1"/>
  <c r="R19" i="1" s="1"/>
  <c r="Q18" i="1"/>
  <c r="T18" i="1" s="1"/>
  <c r="P18" i="1"/>
  <c r="S18" i="1" s="1"/>
  <c r="O18" i="1"/>
  <c r="R18" i="1" s="1"/>
  <c r="Q17" i="1"/>
  <c r="T17" i="1" s="1"/>
  <c r="P17" i="1"/>
  <c r="S17" i="1" s="1"/>
  <c r="O17" i="1"/>
  <c r="R17" i="1" s="1"/>
  <c r="Q16" i="1"/>
  <c r="T16" i="1" s="1"/>
  <c r="P16" i="1"/>
  <c r="S16" i="1" s="1"/>
  <c r="O16" i="1"/>
  <c r="R16" i="1" s="1"/>
  <c r="Q15" i="1"/>
  <c r="T15" i="1" s="1"/>
  <c r="P15" i="1"/>
  <c r="S15" i="1" s="1"/>
  <c r="O15" i="1"/>
  <c r="R15" i="1" s="1"/>
  <c r="Q14" i="1"/>
  <c r="T14" i="1" s="1"/>
  <c r="P14" i="1"/>
  <c r="S14" i="1" s="1"/>
  <c r="O14" i="1"/>
  <c r="R14" i="1" s="1"/>
  <c r="Q13" i="1"/>
  <c r="T13" i="1" s="1"/>
  <c r="P13" i="1"/>
  <c r="S13" i="1" s="1"/>
  <c r="R12" i="1"/>
  <c r="S12" i="1"/>
  <c r="T12" i="1"/>
  <c r="T25" i="1"/>
  <c r="T34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T11" i="1"/>
  <c r="S11" i="1"/>
  <c r="R11" i="1"/>
  <c r="O13" i="1"/>
  <c r="R13" i="1" s="1"/>
  <c r="J11" i="1" l="1"/>
  <c r="K11" i="1" l="1"/>
</calcChain>
</file>

<file path=xl/comments1.xml><?xml version="1.0" encoding="utf-8"?>
<comments xmlns="http://schemas.openxmlformats.org/spreadsheetml/2006/main">
  <authors>
    <author>Ryzhkova Tatyana</author>
    <author>Embergenova Elmira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L13" authorId="1">
      <text>
        <r>
          <rPr>
            <b/>
            <sz val="9"/>
            <color indexed="81"/>
            <rFont val="Tahoma"/>
            <family val="2"/>
            <charset val="204"/>
          </rPr>
          <t>Embergenova Elmira:</t>
        </r>
        <r>
          <rPr>
            <sz val="9"/>
            <color indexed="81"/>
            <rFont val="Tahoma"/>
            <family val="2"/>
            <charset val="204"/>
          </rPr>
          <t xml:space="preserve">
сумма 199515298,08 с ндс с апреля-декабрь  2017г.
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1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2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4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5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6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7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  <comment ref="G42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</commentList>
</comments>
</file>

<file path=xl/comments2.xml><?xml version="1.0" encoding="utf-8"?>
<comments xmlns="http://schemas.openxmlformats.org/spreadsheetml/2006/main">
  <authors>
    <author>Ryzhkova Tatyana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Ryzhkova Tatyana:</t>
        </r>
        <r>
          <rPr>
            <sz val="9"/>
            <color indexed="81"/>
            <rFont val="Tahoma"/>
            <family val="2"/>
            <charset val="204"/>
          </rPr>
          <t xml:space="preserve">
контракт на 3 года 2016-2018
</t>
        </r>
      </text>
    </comment>
  </commentList>
</comments>
</file>

<file path=xl/sharedStrings.xml><?xml version="1.0" encoding="utf-8"?>
<sst xmlns="http://schemas.openxmlformats.org/spreadsheetml/2006/main" count="320" uniqueCount="100">
  <si>
    <t>№</t>
  </si>
  <si>
    <t>Наименование организации</t>
  </si>
  <si>
    <t>код ТРУ</t>
  </si>
  <si>
    <t>наименование закупаемых услуг</t>
  </si>
  <si>
    <t>способ закупок</t>
  </si>
  <si>
    <t>прогноз местного содержания,%</t>
  </si>
  <si>
    <t>срок осуществления закупок</t>
  </si>
  <si>
    <t>место оказания услуг</t>
  </si>
  <si>
    <t>условия оплаты</t>
  </si>
  <si>
    <t>сумма, планируемая для закупки без НДС, тенге</t>
  </si>
  <si>
    <t>сумма, планируемая для закупки с НДС, тенге</t>
  </si>
  <si>
    <t>сумма по годам</t>
  </si>
  <si>
    <t>ТОО "Казахойл Актобе"</t>
  </si>
  <si>
    <t>Отсрочка платежа 30 календарных дней</t>
  </si>
  <si>
    <t>Генеральный директор ТОО "Казахойл Актобе"</t>
  </si>
  <si>
    <t>Начальник ОЭиП</t>
  </si>
  <si>
    <t>Зарипова З.Х.</t>
  </si>
  <si>
    <t>Начальник ОКиМС</t>
  </si>
  <si>
    <t>"Утверждено"</t>
  </si>
  <si>
    <t>План долгосрочных закупок услуг на 2017-2019 гг ТОО "Казахойл Актобе"</t>
  </si>
  <si>
    <t>ОТ</t>
  </si>
  <si>
    <t>Актюбинская область, Мугалжарский район, месторождения ТОО "Казахойл Актобе"</t>
  </si>
  <si>
    <t>офис г.Актобе, Актюбинская область, Мугалжарский район, объекты ТОО "Казахойл Актобе"</t>
  </si>
  <si>
    <t>Сервисное обслуживание  электрооборудования объектов ТОО «Казахойл Актобе»    - месторождение "Алибекмола"</t>
  </si>
  <si>
    <t>Сервисное обслуживание  электрооборудования объектов ТОО «Казахойл Актобе»    - месторождение "Кожасай"</t>
  </si>
  <si>
    <t>Сервисное обслуживание  РЗ и А, сложных электронных устройств электрооборудования и профиспытания электрооборудования    месторождения "Алибекмола" .</t>
  </si>
  <si>
    <t>Сервисное обслуживание  РЗ и А, сложных электронных устройств электрооборудования и профиспытания электрооборудования   месторождения "Кожасай" .</t>
  </si>
  <si>
    <t>Сервисное обслуживание  электрооборудования УКПГ-50   месторождения "Алибекмола" .</t>
  </si>
  <si>
    <t>Сервисное обслуживание  электрооборудования УПГ-29  месторождения "Кожасай" .</t>
  </si>
  <si>
    <t>Сервисное обслуживание  РЗ и А, сложных электронных устройств электрооборудования и профиспытания электрооборудования УКПГ-50   месторождения "Алибекмола" .</t>
  </si>
  <si>
    <t>Сервисное обслуживание  РЗ и А, сложных электронных устройств электрооборудования и профиспытания электрооборудования УПГ-29   месторождения "Кожасай" .</t>
  </si>
  <si>
    <t>Сервисное обслуживание нефтегазопромыслового оборудования  на объектах Компании.</t>
  </si>
  <si>
    <t>Сервисное обслуживание питьевого водоснабжения</t>
  </si>
  <si>
    <t>Сервисное обслуживание технического водоснабжения</t>
  </si>
  <si>
    <t>Техническое обслуживание и ремонт грузоподъемного оборудования Компании</t>
  </si>
  <si>
    <t>Проведение дефектоскопии, толщинометрии сосудов и технического аудита (обьединенный) и сертификация оборудования</t>
  </si>
  <si>
    <t>Сервисное обслуживание АСУ ТП "DeltaV", оборудования КИПиА и исполнительных механизмов месторождения Алибекмола (Промысел)</t>
  </si>
  <si>
    <t>Сервисное обслуживание АСУ ТП "DeltaV", оборудования КИПиА и исполнительных механизмов на  месторождения Кожасай (Промысел)</t>
  </si>
  <si>
    <t>Метрологическое обеспечение месторождений Алибекмола и Кожасай (Промысел).</t>
  </si>
  <si>
    <t>Сервисное обслуживание РСУ «СENTUM3000», ПАЗ "Prosafe"  ЦПиПГ</t>
  </si>
  <si>
    <t>Сервисное обслуживание РСУ «СENTUM3000», ПАЗ "Prosafe"  УПГ-29</t>
  </si>
  <si>
    <t>Сервисное обслуживание КИП и исполнительных механизмов ЦПиПГ</t>
  </si>
  <si>
    <t>Сервисное обслуживание КИП и исполнительных механизмов УПГ-29</t>
  </si>
  <si>
    <t>Сервисное обслуживание средств пожарной, газовой сигнализаций, газоанализатора MRU и систем порошкового пожаротушения ЦПиПГ</t>
  </si>
  <si>
    <t>Сервисное обслуживание средств пожарной, газовой сигнализаций и систем порошкового пожаротушения УПГ-29</t>
  </si>
  <si>
    <r>
      <t>Медицинские услуги подрядной организации</t>
    </r>
    <r>
      <rPr>
        <sz val="14"/>
        <color rgb="FF1F497D"/>
        <rFont val="Calibri"/>
        <family val="2"/>
        <charset val="204"/>
        <scheme val="minor"/>
      </rPr>
      <t xml:space="preserve"> </t>
    </r>
  </si>
  <si>
    <r>
      <t>Услуги газоспасательной службы</t>
    </r>
    <r>
      <rPr>
        <sz val="14"/>
        <color rgb="FF1F497D"/>
        <rFont val="Calibri"/>
        <family val="2"/>
        <charset val="204"/>
        <scheme val="minor"/>
      </rPr>
      <t xml:space="preserve"> </t>
    </r>
  </si>
  <si>
    <r>
      <t>Услуги по противопожарной охране (в т.ч. техобслуживание охранно-пожарной сигнализации)</t>
    </r>
    <r>
      <rPr>
        <sz val="14"/>
        <color rgb="FF1F497D"/>
        <rFont val="Calibri"/>
        <family val="2"/>
        <charset val="204"/>
        <scheme val="minor"/>
      </rPr>
      <t xml:space="preserve"> </t>
    </r>
  </si>
  <si>
    <t>Прокт БП (V7)</t>
  </si>
  <si>
    <t>2017
 (март-декабрь)</t>
  </si>
  <si>
    <t>откл</t>
  </si>
  <si>
    <t>09.10.11.500.000.00.0999.000000000000</t>
  </si>
  <si>
    <t>09.10.12.900.025.00.0777.000000000000</t>
  </si>
  <si>
    <t>33.14.11.200.001.00.0777.000000000000</t>
  </si>
  <si>
    <t>33.12.29.900.016.00.0777.000000000000</t>
  </si>
  <si>
    <t>33.19.10.800.001.00.0777.000000000000</t>
  </si>
  <si>
    <t>33.12.15.300.001.00.0999.000000000000</t>
  </si>
  <si>
    <t>78.30.16.000.000.00.0777.000000000000</t>
  </si>
  <si>
    <t>84.25.19.000.000.00.0777.000000000000</t>
  </si>
  <si>
    <t>84.25.11.000.001.00.0777.000000000000</t>
  </si>
  <si>
    <t>80.10.12.000.000.00.0777.000000000000</t>
  </si>
  <si>
    <t>56.10.19.000.001.00.0777.000000000000</t>
  </si>
  <si>
    <t>81.21.10.000.000.00.0777.000000000000</t>
  </si>
  <si>
    <t>96.01.19.000.001.00.0777.000000000000</t>
  </si>
  <si>
    <t>Услуги по обеспечению питанием работников</t>
  </si>
  <si>
    <t>Услуги по уборке зданий/помещений/территории/транспорта и аналогичных объектов</t>
  </si>
  <si>
    <t>Услуги прачечные</t>
  </si>
  <si>
    <t>Услуги на мобильной установке типа ЛСГ</t>
  </si>
  <si>
    <t>Обслуживание УЭЦН</t>
  </si>
  <si>
    <t>Услуги охраны (предоставление охранных услуг на объектах ТОО «Казахойл Актобе»)</t>
  </si>
  <si>
    <t>Протокол НС</t>
  </si>
  <si>
    <t xml:space="preserve">     Бримжарова С.У.</t>
  </si>
  <si>
    <t xml:space="preserve">                           Вэн Синфан (Weng Xingfang)</t>
  </si>
  <si>
    <t xml:space="preserve">   __________________________________</t>
  </si>
  <si>
    <t>33.13.11.100.014.00.0777.000000000000</t>
  </si>
  <si>
    <t> 33.13.11.100.014.00.0777.000000000000</t>
  </si>
  <si>
    <t>80.20.10.000.002.00.0777.000000000000</t>
  </si>
  <si>
    <t>71.20.19.000.000.00.0777.000000000000</t>
  </si>
  <si>
    <t>71.20.12.000.000.00.0777.000000000000</t>
  </si>
  <si>
    <t>Внедрение технологии и химреагентов усовершенственных методов очистки газа</t>
  </si>
  <si>
    <t>декабрь 2017</t>
  </si>
  <si>
    <t>апрель 2017</t>
  </si>
  <si>
    <t>без ндс</t>
  </si>
  <si>
    <t>согласовать с пто</t>
  </si>
  <si>
    <t>добавить сумму до конца года</t>
  </si>
  <si>
    <t>годовая сумма, нужно согласовать</t>
  </si>
  <si>
    <t>нет контракта</t>
  </si>
  <si>
    <t>сумма до апреля, нужно запросить до конца года</t>
  </si>
  <si>
    <t xml:space="preserve">Медикер, уточнить у отдела  сумму </t>
  </si>
  <si>
    <t>до конца апреля</t>
  </si>
  <si>
    <t xml:space="preserve">годовая сумма </t>
  </si>
  <si>
    <t>сумма заявка</t>
  </si>
  <si>
    <t>Уразалиев А</t>
  </si>
  <si>
    <t>сумма договора до апреля и сумма заявки</t>
  </si>
  <si>
    <t>Утверждаю</t>
  </si>
  <si>
    <t>Генеральный директор</t>
  </si>
  <si>
    <t>1 У</t>
  </si>
  <si>
    <t>План долгосрочных закупок услуг на 2017-2018 гг ТОО "Казахойл Актобе"</t>
  </si>
  <si>
    <t>Вэн Синфан (Weng Xingfang)  ______________________</t>
  </si>
  <si>
    <t>Реквизиты   (№ приказа и дата утверждения плана закупок) №469 от 03.05.17г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</si>
</sst>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1F497D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0"/>
      <color indexed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3" fillId="0" borderId="0" applyFont="0" applyFill="0" applyBorder="0" applyAlignment="0" applyProtection="0"/>
    <xf numFmtId="0" fontId="16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9" fontId="6" fillId="0" borderId="0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4" fontId="6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43" fontId="6" fillId="0" borderId="1" xfId="2" applyFont="1" applyFill="1" applyBorder="1" applyAlignment="1">
      <alignment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" fontId="6" fillId="4" borderId="1" xfId="1" applyNumberFormat="1" applyFont="1" applyFill="1" applyBorder="1" applyAlignment="1">
      <alignment horizontal="center" vertical="center" wrapText="1"/>
    </xf>
    <xf numFmtId="43" fontId="6" fillId="4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9" fontId="14" fillId="0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9" fontId="14" fillId="0" borderId="0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3" fontId="14" fillId="0" borderId="0" xfId="1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4" fillId="2" borderId="0" xfId="0" applyFont="1" applyFill="1" applyBorder="1"/>
    <xf numFmtId="0" fontId="15" fillId="2" borderId="3" xfId="0" applyFont="1" applyFill="1" applyBorder="1"/>
    <xf numFmtId="0" fontId="14" fillId="2" borderId="3" xfId="0" applyFont="1" applyFill="1" applyBorder="1"/>
    <xf numFmtId="0" fontId="15" fillId="2" borderId="0" xfId="0" applyFont="1" applyFill="1" applyBorder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7" fillId="0" borderId="5" xfId="3" applyNumberFormat="1" applyFont="1" applyFill="1" applyBorder="1" applyAlignment="1">
      <alignment horizontal="right" vertical="center"/>
    </xf>
    <xf numFmtId="0" fontId="17" fillId="0" borderId="6" xfId="3" applyNumberFormat="1" applyFont="1" applyFill="1" applyBorder="1" applyAlignment="1">
      <alignment horizontal="right" vertical="center"/>
    </xf>
    <xf numFmtId="0" fontId="17" fillId="0" borderId="7" xfId="3" applyNumberFormat="1" applyFont="1" applyFill="1" applyBorder="1" applyAlignment="1">
      <alignment horizontal="right" vertical="center"/>
    </xf>
    <xf numFmtId="0" fontId="17" fillId="0" borderId="8" xfId="3" applyNumberFormat="1" applyFont="1" applyFill="1" applyBorder="1" applyAlignment="1">
      <alignment horizontal="right" vertical="center"/>
    </xf>
    <xf numFmtId="0" fontId="17" fillId="0" borderId="4" xfId="3" applyNumberFormat="1" applyFont="1" applyFill="1" applyBorder="1" applyAlignment="1">
      <alignment horizontal="right" vertical="center"/>
    </xf>
    <xf numFmtId="0" fontId="17" fillId="0" borderId="9" xfId="3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209\common\CoinPrin\Coin\GCO\&#1052;&#1054;&#1053;&#1048;&#1058;&#1054;&#1056;&#1048;&#1053;&#1043;%20&#1050;&#1054;&#1053;&#1058;&#1056;&#1040;&#1050;&#1058;&#1054;&#1042;\2017%20&#1050;&#1054;&#1053;&#1058;&#1056;&#1040;&#1050;&#1058;&#10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209\common\CoinPrin\Coin\GCO\&#1052;&#1054;&#1053;&#1048;&#1058;&#1054;&#1056;&#1048;&#1053;&#1043;%20&#1050;&#1054;&#1053;&#1058;&#1056;&#1040;&#1050;&#1058;&#1054;&#1042;\2016%20&#1050;&#1054;&#1053;&#1058;&#1056;&#1040;&#1050;&#1058;&#10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/Financing&amp;Budgeting/&#1054;&#1069;&#1080;&#1055;/2017/&#1041;&#1102;&#1076;&#1078;&#1077;&#1090;%202017-2021&#1075;&#1075;/&#1058;&#1044;/&#1055;&#1058;&#1054;/&#1041;&#1102;&#1076;&#1078;&#1077;&#1090;%20&#1055;&#1058;&#1054;%20&#1085;&#1072;%202017%20&#1075;%20698,749%20&#1090;&#1099;&#1089;.%20&#1090;&#1085;%20&#1086;&#1090;%2023.11.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/Financing&amp;Budgeting/&#1054;&#1069;&#1080;&#1055;/2017/&#1041;&#1102;&#1076;&#1078;&#1077;&#1090;%202017-2021&#1075;&#1075;/&#1058;&#1044;/&#1055;&#1058;&#1054;/&#1041;&#1102;&#1076;&#1078;&#1077;&#1090;%20&#1055;&#1058;&#1054;%20&#1085;&#1072;%202017%20&#1075;%20698,749%20&#1090;&#1099;&#1089;.%20&#1090;&#1085;%20&#1086;&#1090;%2019.07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bergenova.e/AppData/Local/Microsoft/Windows/Temporary%20Internet%20Files/Content.Outlook/X2JDO8U7/&#1041;&#1055;_2017-2021_45$_698,7_&#1050;&#1052;&#1043;_360_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bergenova.e/AppData/Local/Microsoft/Windows/Temporary%20Internet%20Files/Content.Outlook/X2JDO8U7/&#1051;&#1080;&#1089;&#1090;%20Microsoft%20Excel%20(2)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/Financing&amp;Budgeting/&#1054;&#1069;&#1080;&#1055;/2017/&#1041;&#1102;&#1076;&#1078;&#1077;&#1090;%202017-2021&#1075;&#1075;/&#1043;&#1044;/&#1040;&#1054;/&#1040;&#1054;%20(OPEX)%20&#1085;&#1072;%202017-2021%2022.11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D"/>
      <sheetName val="FAC"/>
      <sheetName val="FIT"/>
      <sheetName val="FBP"/>
      <sheetName val="FST"/>
      <sheetName val="FTR"/>
      <sheetName val="GGD"/>
      <sheetName val="GAD"/>
      <sheetName val="GСО"/>
      <sheetName val="GHR"/>
      <sheetName val="GHS"/>
      <sheetName val="GОС"/>
      <sheetName val="GSD"/>
      <sheetName val="TЕМ"/>
      <sheetName val="TTD"/>
      <sheetName val="TDO"/>
      <sheetName val="T5Е"/>
      <sheetName val="TWO"/>
      <sheetName val="TDW"/>
      <sheetName val="TMR"/>
      <sheetName val="GCH"/>
      <sheetName val="TPD"/>
      <sheetName val="TPM"/>
      <sheetName val="TTO"/>
      <sheetName val="CСD"/>
      <sheetName val="CCE"/>
      <sheetName val="CSL"/>
      <sheetName val="CBD"/>
      <sheetName val="CPC"/>
      <sheetName val="CC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G18">
            <v>24239320</v>
          </cell>
        </row>
      </sheetData>
      <sheetData sheetId="11"/>
      <sheetData sheetId="12"/>
      <sheetData sheetId="13">
        <row r="37">
          <cell r="G37">
            <v>25602280.469999999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G4">
            <v>92288000</v>
          </cell>
        </row>
        <row r="18">
          <cell r="G18">
            <v>514000872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D"/>
      <sheetName val="FAC"/>
      <sheetName val="FIT"/>
      <sheetName val="FBP"/>
      <sheetName val="FST"/>
      <sheetName val="FTR"/>
      <sheetName val="GGD"/>
      <sheetName val="GAD"/>
      <sheetName val="GСО"/>
      <sheetName val="GHR"/>
      <sheetName val="GHS"/>
      <sheetName val="GОС"/>
      <sheetName val="GSD"/>
      <sheetName val="TЕМ"/>
      <sheetName val="TTD"/>
      <sheetName val="TDO"/>
      <sheetName val="T5Е"/>
      <sheetName val="TWO"/>
      <sheetName val="TDW"/>
      <sheetName val="TMR"/>
      <sheetName val="GCH"/>
      <sheetName val="TPD"/>
      <sheetName val="TPM"/>
      <sheetName val="TTO"/>
      <sheetName val="CСD"/>
      <sheetName val="CCE"/>
      <sheetName val="CSL"/>
      <sheetName val="CBD"/>
      <sheetName val="CPC"/>
      <sheetName val="CC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9">
          <cell r="G39">
            <v>8099083.3399999999</v>
          </cell>
        </row>
        <row r="40">
          <cell r="G40">
            <v>18141946.68</v>
          </cell>
        </row>
        <row r="41">
          <cell r="G41">
            <v>2771201.12</v>
          </cell>
        </row>
        <row r="42">
          <cell r="G42">
            <v>5542402.2400000002</v>
          </cell>
        </row>
      </sheetData>
      <sheetData sheetId="11"/>
      <sheetData sheetId="12"/>
      <sheetData sheetId="13">
        <row r="171">
          <cell r="G171">
            <v>4246421.76</v>
          </cell>
        </row>
        <row r="172">
          <cell r="G172">
            <v>8492843.5</v>
          </cell>
        </row>
        <row r="173">
          <cell r="G173">
            <v>7963288.4800000004</v>
          </cell>
        </row>
        <row r="174">
          <cell r="G174">
            <v>11608234.4</v>
          </cell>
        </row>
        <row r="175">
          <cell r="G175">
            <v>23216468.800000001</v>
          </cell>
        </row>
        <row r="176">
          <cell r="G176">
            <v>4492863.2</v>
          </cell>
        </row>
        <row r="177">
          <cell r="G177">
            <v>8985726.4000000004</v>
          </cell>
        </row>
        <row r="178">
          <cell r="G178">
            <v>1820846.72</v>
          </cell>
        </row>
        <row r="179">
          <cell r="G179">
            <v>3641693.4</v>
          </cell>
        </row>
        <row r="180">
          <cell r="G180">
            <v>4411435.84</v>
          </cell>
        </row>
        <row r="189">
          <cell r="G189">
            <v>1727775.79</v>
          </cell>
        </row>
        <row r="190">
          <cell r="G190">
            <v>3455551.7</v>
          </cell>
        </row>
        <row r="191">
          <cell r="G191">
            <v>3875866.38</v>
          </cell>
        </row>
        <row r="192">
          <cell r="G192">
            <v>7751733</v>
          </cell>
        </row>
        <row r="193">
          <cell r="G193">
            <v>2466586.08</v>
          </cell>
        </row>
        <row r="194">
          <cell r="G194">
            <v>4933172.2</v>
          </cell>
        </row>
        <row r="199">
          <cell r="G199">
            <v>3267129.6</v>
          </cell>
        </row>
        <row r="200">
          <cell r="G200">
            <v>6534259.2000000002</v>
          </cell>
        </row>
        <row r="204">
          <cell r="G204">
            <v>2845942.24</v>
          </cell>
        </row>
        <row r="205">
          <cell r="G205">
            <v>5691885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52">
          <cell r="G52">
            <v>34930412.159999996</v>
          </cell>
        </row>
        <row r="53">
          <cell r="G53">
            <v>52029541.759999998</v>
          </cell>
        </row>
        <row r="56">
          <cell r="G56">
            <v>8798754.7200000007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нематериальным затратам"/>
      <sheetName val="материальные затраты "/>
      <sheetName val="Лист3"/>
      <sheetName val="Общий бюджет"/>
      <sheetName val="Диз. топливо"/>
      <sheetName val="Масла и Тосол"/>
      <sheetName val="Алибек"/>
      <sheetName val="Кожасай"/>
      <sheetName val="добыча Ал"/>
      <sheetName val="добыча Кж"/>
      <sheetName val="обслуж УЭЦН"/>
      <sheetName val="Ремонт УЭЦН"/>
      <sheetName val="услуги станка ЛСГ"/>
      <sheetName val="очистка РВС"/>
      <sheetName val="НИОКР"/>
      <sheetName val="РЭН общий"/>
      <sheetName val="Лаборатория"/>
      <sheetName val="КОА АТ"/>
      <sheetName val="Алибек АТ"/>
      <sheetName val="Кожасай АТ"/>
    </sheetNames>
    <sheetDataSet>
      <sheetData sheetId="0"/>
      <sheetData sheetId="1"/>
      <sheetData sheetId="2"/>
      <sheetData sheetId="3">
        <row r="19">
          <cell r="T19">
            <v>100403985</v>
          </cell>
          <cell r="U19">
            <v>102444393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нематериальным затратам"/>
      <sheetName val="материальные затраты "/>
      <sheetName val="Лист3"/>
      <sheetName val="Общий бюджет"/>
      <sheetName val="Диз. топливо"/>
      <sheetName val="Масла и Тосол"/>
      <sheetName val="Алибек"/>
      <sheetName val="Кожасай"/>
      <sheetName val="добыча Ал"/>
      <sheetName val="добыча Кж"/>
      <sheetName val="обслуж УЭЦН"/>
      <sheetName val="Ремонт УЭЦН"/>
      <sheetName val="услуги станка ЛСГ"/>
      <sheetName val="очистка РВС"/>
      <sheetName val="НИОКР"/>
      <sheetName val="РЭН общий"/>
      <sheetName val="Лаборатория"/>
      <sheetName val="КОА АТ"/>
      <sheetName val="Алибек АТ"/>
      <sheetName val="Кожасай АТ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D6">
            <v>918879106.35440671</v>
          </cell>
        </row>
      </sheetData>
      <sheetData sheetId="7">
        <row r="6">
          <cell r="D6">
            <v>311277320.40409088</v>
          </cell>
        </row>
      </sheetData>
      <sheetData sheetId="8"/>
      <sheetData sheetId="9"/>
      <sheetData sheetId="10">
        <row r="21">
          <cell r="S21">
            <v>8547444</v>
          </cell>
          <cell r="T21">
            <v>8271720</v>
          </cell>
          <cell r="U21">
            <v>8547444</v>
          </cell>
          <cell r="V21">
            <v>8271720</v>
          </cell>
          <cell r="W21">
            <v>8547444</v>
          </cell>
          <cell r="X21">
            <v>8547444</v>
          </cell>
          <cell r="Y21">
            <v>8271720</v>
          </cell>
          <cell r="Z21">
            <v>8547444</v>
          </cell>
          <cell r="AA21">
            <v>8271720</v>
          </cell>
          <cell r="AB21">
            <v>8547444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уск пр-ии"/>
      <sheetName val="Сцен"/>
      <sheetName val="P&amp;L"/>
      <sheetName val="НСП"/>
      <sheetName val="Объёмы"/>
      <sheetName val="УПР тг"/>
      <sheetName val="Комм_Расх тг"/>
      <sheetName val="ОРН тг"/>
      <sheetName val="Доходы тг"/>
      <sheetName val="Рент_Нал"/>
      <sheetName val="УПР долл"/>
      <sheetName val="Комм_Расх долл"/>
      <sheetName val="ОРН долл"/>
      <sheetName val="Доходы долл"/>
      <sheetName val="НДПИ"/>
      <sheetName val="Нефть Всего"/>
      <sheetName val="Алибек"/>
      <sheetName val="Кожасай"/>
      <sheetName val="всего ОРЕХ газ"/>
      <sheetName val="УКПГ-50"/>
      <sheetName val="УПГ-29"/>
      <sheetName val="Адм"/>
      <sheetName val="%"/>
      <sheetName val="Ист.%"/>
      <sheetName val="КПН-оплатa"/>
      <sheetName val="CFS"/>
      <sheetName val="CFS ПУГ"/>
      <sheetName val="НДС 2015"/>
      <sheetName val="Трансп_Нал"/>
      <sheetName val="Inp_Rev"/>
      <sheetName val="Inp_Rev_m"/>
      <sheetName val="Inp_COGS"/>
      <sheetName val="Inp_COGS_m"/>
      <sheetName val="Inp_SGA"/>
      <sheetName val="Inp_SGA_m"/>
      <sheetName val="Labour Inputs"/>
      <sheetName val="ППУ_LUK_M"/>
      <sheetName val="ППУ_LUK_Q_Y"/>
      <sheetName val="АХР_LUK_M"/>
      <sheetName val="АХР_Лукойл_Q_Y"/>
      <sheetName val="Налоги_LUK_M"/>
      <sheetName val="Налоги_LUK_Q_Y"/>
      <sheetName val="Амортиз_LUK_M"/>
      <sheetName val="Амортиз_LUK_Q_Y"/>
      <sheetName val="Ист.%стар."/>
      <sheetName val="НСПст."/>
      <sheetName val="трансп,имущ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8">
          <cell r="F78">
            <v>2557168</v>
          </cell>
          <cell r="G78">
            <v>2557168</v>
          </cell>
          <cell r="H78">
            <v>2557168</v>
          </cell>
          <cell r="I78">
            <v>2557168</v>
          </cell>
          <cell r="J78">
            <v>2557168</v>
          </cell>
          <cell r="K78">
            <v>2557168</v>
          </cell>
          <cell r="L78">
            <v>2557168</v>
          </cell>
          <cell r="M78">
            <v>2557168</v>
          </cell>
          <cell r="N78">
            <v>2557168</v>
          </cell>
          <cell r="O78">
            <v>2557168</v>
          </cell>
          <cell r="S78">
            <v>30686016</v>
          </cell>
          <cell r="T78">
            <v>30686016</v>
          </cell>
        </row>
        <row r="81">
          <cell r="F81">
            <v>10592138</v>
          </cell>
          <cell r="G81">
            <v>10592139</v>
          </cell>
          <cell r="H81">
            <v>10592139</v>
          </cell>
          <cell r="I81">
            <v>10592139</v>
          </cell>
          <cell r="J81">
            <v>10592139</v>
          </cell>
          <cell r="K81">
            <v>10592139</v>
          </cell>
          <cell r="L81">
            <v>10592139</v>
          </cell>
          <cell r="M81">
            <v>10592139</v>
          </cell>
          <cell r="N81">
            <v>10592139</v>
          </cell>
          <cell r="O81">
            <v>10592139</v>
          </cell>
          <cell r="S81">
            <v>127105665</v>
          </cell>
          <cell r="T81">
            <v>127105665</v>
          </cell>
        </row>
        <row r="83">
          <cell r="F83">
            <v>2754200</v>
          </cell>
          <cell r="G83">
            <v>2754200</v>
          </cell>
          <cell r="H83">
            <v>2754200</v>
          </cell>
          <cell r="I83">
            <v>2754200</v>
          </cell>
          <cell r="J83">
            <v>2754200</v>
          </cell>
          <cell r="K83">
            <v>2754200</v>
          </cell>
          <cell r="L83">
            <v>2754200</v>
          </cell>
          <cell r="M83">
            <v>2754200</v>
          </cell>
          <cell r="N83">
            <v>2754200</v>
          </cell>
          <cell r="O83">
            <v>2754200</v>
          </cell>
          <cell r="S83">
            <v>33050400</v>
          </cell>
          <cell r="T83">
            <v>33050400</v>
          </cell>
        </row>
        <row r="108">
          <cell r="F108">
            <v>12394774.213114752</v>
          </cell>
          <cell r="G108">
            <v>11994942.786885243</v>
          </cell>
          <cell r="H108">
            <v>12394774.213114752</v>
          </cell>
          <cell r="I108">
            <v>11994942.786885243</v>
          </cell>
          <cell r="J108">
            <v>12394774.213114752</v>
          </cell>
          <cell r="K108">
            <v>12394774.213114752</v>
          </cell>
          <cell r="L108">
            <v>11994942.786885243</v>
          </cell>
          <cell r="M108">
            <v>12394774.213114752</v>
          </cell>
          <cell r="N108">
            <v>11994942.786885243</v>
          </cell>
          <cell r="O108">
            <v>12394774.213114752</v>
          </cell>
          <cell r="S108">
            <v>146338302</v>
          </cell>
          <cell r="T108">
            <v>146338302</v>
          </cell>
        </row>
        <row r="194">
          <cell r="F194">
            <v>11048861.030814815</v>
          </cell>
          <cell r="G194">
            <v>11048861.030814815</v>
          </cell>
          <cell r="H194">
            <v>11048861.030814815</v>
          </cell>
          <cell r="I194">
            <v>11048861.030814815</v>
          </cell>
          <cell r="J194">
            <v>11048861.030814815</v>
          </cell>
          <cell r="K194">
            <v>11048861.030814815</v>
          </cell>
          <cell r="L194">
            <v>11048861.030814815</v>
          </cell>
          <cell r="M194">
            <v>11048861.030814815</v>
          </cell>
          <cell r="N194">
            <v>11048861.030814815</v>
          </cell>
          <cell r="O194">
            <v>11048861.030814815</v>
          </cell>
          <cell r="S194">
            <v>132586332.36977777</v>
          </cell>
          <cell r="T194">
            <v>132586332.36977777</v>
          </cell>
        </row>
        <row r="196">
          <cell r="F196">
            <v>1530000</v>
          </cell>
          <cell r="G196">
            <v>0</v>
          </cell>
          <cell r="H196">
            <v>0</v>
          </cell>
          <cell r="I196">
            <v>0</v>
          </cell>
          <cell r="J196">
            <v>5580081.2323439997</v>
          </cell>
          <cell r="K196">
            <v>11595011.4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S196">
            <v>18705092.629999999</v>
          </cell>
          <cell r="T196">
            <v>18705092.629999999</v>
          </cell>
        </row>
        <row r="198">
          <cell r="F198">
            <v>3460594.9822533326</v>
          </cell>
          <cell r="G198">
            <v>3460594.9822533326</v>
          </cell>
          <cell r="H198">
            <v>3460594.9822533326</v>
          </cell>
          <cell r="I198">
            <v>3460594.9822533326</v>
          </cell>
          <cell r="J198">
            <v>3460594.9822533326</v>
          </cell>
          <cell r="K198">
            <v>3460594.9822533326</v>
          </cell>
          <cell r="L198">
            <v>3460594.9822533326</v>
          </cell>
          <cell r="M198">
            <v>3460594.9822533326</v>
          </cell>
          <cell r="N198">
            <v>3460594.9822533326</v>
          </cell>
          <cell r="O198">
            <v>3460594.9822533326</v>
          </cell>
          <cell r="S198">
            <v>41527139.787040003</v>
          </cell>
          <cell r="T198">
            <v>41527139.787040003</v>
          </cell>
        </row>
        <row r="199">
          <cell r="F199">
            <v>2541019.8478133334</v>
          </cell>
          <cell r="G199">
            <v>2541019.8478133334</v>
          </cell>
          <cell r="H199">
            <v>2541019.8478133334</v>
          </cell>
          <cell r="I199">
            <v>2541019.8478133334</v>
          </cell>
          <cell r="J199">
            <v>2541019.8478133334</v>
          </cell>
          <cell r="K199">
            <v>2541019.8478133334</v>
          </cell>
          <cell r="L199">
            <v>2541019.8478133334</v>
          </cell>
          <cell r="M199">
            <v>2541019.8478133334</v>
          </cell>
          <cell r="N199">
            <v>2541019.8478133334</v>
          </cell>
          <cell r="O199">
            <v>2541019.8478133334</v>
          </cell>
          <cell r="S199">
            <v>30492234</v>
          </cell>
          <cell r="T199">
            <v>30492234</v>
          </cell>
        </row>
        <row r="203">
          <cell r="F203">
            <v>654667.17000000004</v>
          </cell>
          <cell r="G203">
            <v>654667.17000000004</v>
          </cell>
          <cell r="H203">
            <v>654667.17000000004</v>
          </cell>
          <cell r="I203">
            <v>654667.17000000004</v>
          </cell>
          <cell r="J203">
            <v>654667.17000000004</v>
          </cell>
          <cell r="K203">
            <v>654667.17000000004</v>
          </cell>
          <cell r="L203">
            <v>654667.17000000004</v>
          </cell>
          <cell r="M203">
            <v>654667.17000000004</v>
          </cell>
          <cell r="N203">
            <v>654667.17000000004</v>
          </cell>
          <cell r="O203">
            <v>654667.17000000004</v>
          </cell>
          <cell r="S203">
            <v>7856006.3600000003</v>
          </cell>
          <cell r="T203">
            <v>7856006.3600000003</v>
          </cell>
        </row>
        <row r="260">
          <cell r="F260">
            <v>4462594</v>
          </cell>
          <cell r="G260">
            <v>0</v>
          </cell>
          <cell r="H260">
            <v>0</v>
          </cell>
          <cell r="I260">
            <v>4462594</v>
          </cell>
          <cell r="J260">
            <v>0</v>
          </cell>
          <cell r="K260">
            <v>0</v>
          </cell>
          <cell r="L260">
            <v>4462594</v>
          </cell>
          <cell r="M260">
            <v>0</v>
          </cell>
          <cell r="N260">
            <v>0</v>
          </cell>
          <cell r="O260">
            <v>4462594</v>
          </cell>
          <cell r="S260">
            <v>17850376</v>
          </cell>
          <cell r="T260">
            <v>17850376</v>
          </cell>
        </row>
      </sheetData>
      <sheetData sheetId="16" refreshError="1">
        <row r="231">
          <cell r="F231">
            <v>10364495.090062169</v>
          </cell>
          <cell r="G231">
            <v>10364495.090062169</v>
          </cell>
          <cell r="H231">
            <v>10364495.090062169</v>
          </cell>
          <cell r="I231">
            <v>10364495.090062169</v>
          </cell>
          <cell r="J231">
            <v>10364495.090062169</v>
          </cell>
          <cell r="K231">
            <v>10364495.090062169</v>
          </cell>
          <cell r="L231">
            <v>10364495.090062169</v>
          </cell>
          <cell r="M231">
            <v>10364495.090062169</v>
          </cell>
          <cell r="N231">
            <v>10364495.090062169</v>
          </cell>
          <cell r="O231">
            <v>10364495.090062169</v>
          </cell>
          <cell r="S231">
            <v>124373941.08074604</v>
          </cell>
          <cell r="T231">
            <v>124373941.08074604</v>
          </cell>
        </row>
        <row r="232">
          <cell r="F232">
            <v>2917079.9830068266</v>
          </cell>
          <cell r="G232">
            <v>2917079.9830068266</v>
          </cell>
          <cell r="H232">
            <v>2917079.9830068266</v>
          </cell>
          <cell r="I232">
            <v>2917079.9830068266</v>
          </cell>
          <cell r="J232">
            <v>10791575.983006828</v>
          </cell>
          <cell r="K232">
            <v>10791575.983006828</v>
          </cell>
          <cell r="L232">
            <v>2917079.9830068266</v>
          </cell>
          <cell r="M232">
            <v>2917079.9830068266</v>
          </cell>
          <cell r="N232">
            <v>2917079.9830068266</v>
          </cell>
          <cell r="O232">
            <v>2917079.9830068266</v>
          </cell>
          <cell r="S232">
            <v>50753952</v>
          </cell>
          <cell r="T232">
            <v>50753952</v>
          </cell>
        </row>
        <row r="256">
          <cell r="F256">
            <v>9572850.1378355995</v>
          </cell>
          <cell r="G256">
            <v>9572850.1378355995</v>
          </cell>
          <cell r="H256">
            <v>9572850.1378355995</v>
          </cell>
          <cell r="I256">
            <v>9572850.1378355995</v>
          </cell>
          <cell r="J256">
            <v>9572850.1378355995</v>
          </cell>
          <cell r="K256">
            <v>9572850.1378355995</v>
          </cell>
          <cell r="L256">
            <v>9572850.1378355995</v>
          </cell>
          <cell r="M256">
            <v>9572850.1378355995</v>
          </cell>
          <cell r="N256">
            <v>9572850.1378355995</v>
          </cell>
          <cell r="O256">
            <v>9572850.1378355995</v>
          </cell>
          <cell r="S256">
            <v>114874200</v>
          </cell>
          <cell r="T256">
            <v>114874200</v>
          </cell>
        </row>
      </sheetData>
      <sheetData sheetId="17" refreshError="1">
        <row r="216">
          <cell r="F216">
            <v>4011484.7680101274</v>
          </cell>
          <cell r="G216">
            <v>4011484.7680101274</v>
          </cell>
          <cell r="H216">
            <v>4011484.7680101274</v>
          </cell>
          <cell r="I216">
            <v>4011484.7680101274</v>
          </cell>
          <cell r="J216">
            <v>4011484.7680101274</v>
          </cell>
          <cell r="K216">
            <v>4011484.7680101274</v>
          </cell>
          <cell r="L216">
            <v>4011484.7680101274</v>
          </cell>
          <cell r="M216">
            <v>4011484.7680101274</v>
          </cell>
          <cell r="N216">
            <v>4011484.7680101274</v>
          </cell>
          <cell r="O216">
            <v>4011484.7680101274</v>
          </cell>
          <cell r="S216">
            <v>48137817.216121525</v>
          </cell>
          <cell r="T216">
            <v>48137817.216121525</v>
          </cell>
        </row>
        <row r="217">
          <cell r="F217">
            <v>2202309.1214386667</v>
          </cell>
          <cell r="G217">
            <v>2202309.1214386667</v>
          </cell>
          <cell r="H217">
            <v>2202309.1214386667</v>
          </cell>
          <cell r="I217">
            <v>2202309.1214386667</v>
          </cell>
          <cell r="J217">
            <v>4238437.6214386672</v>
          </cell>
          <cell r="K217">
            <v>4238437.6214386672</v>
          </cell>
          <cell r="L217">
            <v>2202309.1214386667</v>
          </cell>
          <cell r="M217">
            <v>2202309.1214386667</v>
          </cell>
          <cell r="N217">
            <v>2202309.1214386667</v>
          </cell>
          <cell r="O217">
            <v>2202309.1214386667</v>
          </cell>
          <cell r="S217">
            <v>30499966.457264006</v>
          </cell>
          <cell r="T217">
            <v>30499966.457264006</v>
          </cell>
        </row>
        <row r="241">
          <cell r="F241">
            <v>2898837.4858147153</v>
          </cell>
          <cell r="G241">
            <v>2898837.4858147153</v>
          </cell>
          <cell r="H241">
            <v>2898837.4858147153</v>
          </cell>
          <cell r="I241">
            <v>2898837.4858147153</v>
          </cell>
          <cell r="J241">
            <v>2898837.4858147153</v>
          </cell>
          <cell r="K241">
            <v>2898837.4858147153</v>
          </cell>
          <cell r="L241">
            <v>2898837.4858147153</v>
          </cell>
          <cell r="M241">
            <v>2898837.4858147153</v>
          </cell>
          <cell r="N241">
            <v>2898837.4858147153</v>
          </cell>
          <cell r="O241">
            <v>2898837.4858147153</v>
          </cell>
          <cell r="S241">
            <v>34786049.829776593</v>
          </cell>
          <cell r="T241">
            <v>34786049.829776593</v>
          </cell>
        </row>
      </sheetData>
      <sheetData sheetId="18" refreshError="1">
        <row r="49">
          <cell r="F49">
            <v>2243984.85</v>
          </cell>
        </row>
        <row r="64">
          <cell r="F64">
            <v>6836920</v>
          </cell>
          <cell r="G64">
            <v>6836920</v>
          </cell>
          <cell r="H64">
            <v>6836920</v>
          </cell>
          <cell r="I64">
            <v>6836920</v>
          </cell>
          <cell r="J64">
            <v>6836920</v>
          </cell>
          <cell r="K64">
            <v>6836920</v>
          </cell>
          <cell r="L64">
            <v>6836920</v>
          </cell>
          <cell r="M64">
            <v>6836920</v>
          </cell>
          <cell r="N64">
            <v>6836920</v>
          </cell>
          <cell r="O64">
            <v>6836920</v>
          </cell>
          <cell r="S64">
            <v>82043040</v>
          </cell>
          <cell r="T64">
            <v>82043040</v>
          </cell>
        </row>
        <row r="65">
          <cell r="F65">
            <v>5345041</v>
          </cell>
          <cell r="G65">
            <v>5345041</v>
          </cell>
          <cell r="H65">
            <v>5345041</v>
          </cell>
          <cell r="I65">
            <v>5345041</v>
          </cell>
          <cell r="J65">
            <v>5345041</v>
          </cell>
          <cell r="K65">
            <v>5345041</v>
          </cell>
          <cell r="L65">
            <v>5345041</v>
          </cell>
          <cell r="M65">
            <v>5345041</v>
          </cell>
          <cell r="N65">
            <v>5345041</v>
          </cell>
          <cell r="O65">
            <v>5345041</v>
          </cell>
          <cell r="S65">
            <v>64140492</v>
          </cell>
          <cell r="T65">
            <v>64140492</v>
          </cell>
        </row>
        <row r="67">
          <cell r="F67">
            <v>3420988.2295081965</v>
          </cell>
          <cell r="G67">
            <v>3310633.7704918031</v>
          </cell>
          <cell r="H67">
            <v>3420988.2295081965</v>
          </cell>
          <cell r="I67">
            <v>3310633.7704918031</v>
          </cell>
          <cell r="J67">
            <v>3420988.2295081965</v>
          </cell>
          <cell r="K67">
            <v>3420988.2295081965</v>
          </cell>
          <cell r="L67">
            <v>3310633.7704918031</v>
          </cell>
          <cell r="M67">
            <v>3420988.2295081965</v>
          </cell>
          <cell r="N67">
            <v>3310633.7704918031</v>
          </cell>
          <cell r="O67">
            <v>3420988.2295081965</v>
          </cell>
          <cell r="S67">
            <v>40389732</v>
          </cell>
          <cell r="T67">
            <v>40389732</v>
          </cell>
        </row>
      </sheetData>
      <sheetData sheetId="19" refreshError="1">
        <row r="47">
          <cell r="F47">
            <v>1182971.2711426665</v>
          </cell>
          <cell r="G47">
            <v>1182971.2711426665</v>
          </cell>
          <cell r="H47">
            <v>1182971.2711426665</v>
          </cell>
          <cell r="I47">
            <v>1182971.2711426665</v>
          </cell>
          <cell r="J47">
            <v>5412971.2711426662</v>
          </cell>
          <cell r="K47">
            <v>5412971.2711426662</v>
          </cell>
          <cell r="L47">
            <v>1182971.2711426665</v>
          </cell>
          <cell r="M47">
            <v>1182971.2711426665</v>
          </cell>
          <cell r="N47">
            <v>1182971.2711426665</v>
          </cell>
          <cell r="O47">
            <v>1182971.2711426665</v>
          </cell>
          <cell r="S47">
            <v>22655655.253711991</v>
          </cell>
          <cell r="T47">
            <v>22655655.253711991</v>
          </cell>
        </row>
        <row r="48">
          <cell r="F48">
            <v>3791448.1538251657</v>
          </cell>
          <cell r="G48">
            <v>3791448.1538251657</v>
          </cell>
          <cell r="H48">
            <v>3791448.1538251657</v>
          </cell>
          <cell r="I48">
            <v>3791448.1538251657</v>
          </cell>
          <cell r="J48">
            <v>3791448.1538251657</v>
          </cell>
          <cell r="K48">
            <v>3791448.1538251657</v>
          </cell>
          <cell r="L48">
            <v>3791448.1538251657</v>
          </cell>
          <cell r="M48">
            <v>3791448.1538251657</v>
          </cell>
          <cell r="N48">
            <v>3791448.1538251657</v>
          </cell>
          <cell r="O48">
            <v>3791448.1538251657</v>
          </cell>
          <cell r="S48">
            <v>45497377.845901974</v>
          </cell>
          <cell r="T48">
            <v>45497377.845901974</v>
          </cell>
        </row>
        <row r="51">
          <cell r="F51">
            <v>3359863.5749999997</v>
          </cell>
          <cell r="G51">
            <v>3359863.5749999997</v>
          </cell>
          <cell r="H51">
            <v>3359863.5749999997</v>
          </cell>
          <cell r="I51">
            <v>3359863.5749999997</v>
          </cell>
          <cell r="J51">
            <v>3359863.5749999997</v>
          </cell>
          <cell r="K51">
            <v>3359863.5749999997</v>
          </cell>
          <cell r="L51">
            <v>3359863.5749999997</v>
          </cell>
          <cell r="M51">
            <v>3359863.5749999997</v>
          </cell>
          <cell r="N51">
            <v>3359863.5749999997</v>
          </cell>
          <cell r="O51">
            <v>3359863.5749999997</v>
          </cell>
          <cell r="S51">
            <v>40318362.900000006</v>
          </cell>
          <cell r="T51">
            <v>40318362.900000006</v>
          </cell>
        </row>
        <row r="52">
          <cell r="F52">
            <v>5566011.75</v>
          </cell>
          <cell r="G52">
            <v>5566011.75</v>
          </cell>
          <cell r="H52">
            <v>5566011.75</v>
          </cell>
          <cell r="I52">
            <v>5566011.75</v>
          </cell>
          <cell r="J52">
            <v>5566011.75</v>
          </cell>
          <cell r="K52">
            <v>5566011.75</v>
          </cell>
          <cell r="L52">
            <v>5566011.75</v>
          </cell>
          <cell r="M52">
            <v>5566011.75</v>
          </cell>
          <cell r="N52">
            <v>5566011.75</v>
          </cell>
          <cell r="O52">
            <v>5566011.75</v>
          </cell>
          <cell r="S52">
            <v>66792141</v>
          </cell>
          <cell r="T52">
            <v>66792141</v>
          </cell>
        </row>
        <row r="53">
          <cell r="F53">
            <v>2243984.85</v>
          </cell>
          <cell r="G53">
            <v>2243984.85</v>
          </cell>
          <cell r="H53">
            <v>2243984.85</v>
          </cell>
          <cell r="I53">
            <v>2243984.85</v>
          </cell>
          <cell r="J53">
            <v>2243984.85</v>
          </cell>
          <cell r="K53">
            <v>2243984.85</v>
          </cell>
          <cell r="L53">
            <v>2243984.85</v>
          </cell>
          <cell r="M53">
            <v>2243984.85</v>
          </cell>
          <cell r="N53">
            <v>2243984.85</v>
          </cell>
          <cell r="O53">
            <v>2243984.85</v>
          </cell>
          <cell r="S53">
            <v>26927818.200000007</v>
          </cell>
          <cell r="T53">
            <v>26927818.200000007</v>
          </cell>
        </row>
      </sheetData>
      <sheetData sheetId="20" refreshError="1">
        <row r="47">
          <cell r="F47">
            <v>1542657.1750954669</v>
          </cell>
          <cell r="G47">
            <v>1542657.1750954669</v>
          </cell>
          <cell r="H47">
            <v>1542657.1750954669</v>
          </cell>
          <cell r="I47">
            <v>1542657.1750954669</v>
          </cell>
          <cell r="J47">
            <v>3614542.1750954669</v>
          </cell>
          <cell r="K47">
            <v>3614542.1750954669</v>
          </cell>
          <cell r="L47">
            <v>1542657.1750954669</v>
          </cell>
          <cell r="M47">
            <v>1542657.1750954669</v>
          </cell>
          <cell r="N47">
            <v>1542657.1750954669</v>
          </cell>
          <cell r="O47">
            <v>1542657.1750954669</v>
          </cell>
          <cell r="S47">
            <v>22655656.10114561</v>
          </cell>
          <cell r="T47">
            <v>22655656.10114561</v>
          </cell>
        </row>
        <row r="48">
          <cell r="F48">
            <v>1625756.3637001112</v>
          </cell>
          <cell r="G48">
            <v>1625756.3637001112</v>
          </cell>
          <cell r="H48">
            <v>1625756.3637001112</v>
          </cell>
          <cell r="I48">
            <v>1625756.3637001112</v>
          </cell>
          <cell r="J48">
            <v>1625756.3637001112</v>
          </cell>
          <cell r="K48">
            <v>1625756.3637001112</v>
          </cell>
          <cell r="L48">
            <v>1625756.3637001112</v>
          </cell>
          <cell r="M48">
            <v>1625756.3637001112</v>
          </cell>
          <cell r="N48">
            <v>1625756.3637001112</v>
          </cell>
          <cell r="O48">
            <v>1625756.3637001112</v>
          </cell>
          <cell r="S48">
            <v>19509076.364401329</v>
          </cell>
          <cell r="T48">
            <v>19509076.364401329</v>
          </cell>
        </row>
        <row r="51">
          <cell r="F51">
            <v>1822320</v>
          </cell>
          <cell r="G51">
            <v>1822320</v>
          </cell>
          <cell r="H51">
            <v>1822320</v>
          </cell>
          <cell r="I51">
            <v>1822320</v>
          </cell>
          <cell r="J51">
            <v>1822320</v>
          </cell>
          <cell r="K51">
            <v>1822320</v>
          </cell>
          <cell r="L51">
            <v>1822320</v>
          </cell>
          <cell r="M51">
            <v>1822320</v>
          </cell>
          <cell r="N51">
            <v>1822320</v>
          </cell>
          <cell r="O51">
            <v>1822320</v>
          </cell>
          <cell r="S51">
            <v>21867840</v>
          </cell>
          <cell r="T51">
            <v>21867840</v>
          </cell>
        </row>
        <row r="52">
          <cell r="F52">
            <v>2302392.15</v>
          </cell>
          <cell r="G52">
            <v>2302392.15</v>
          </cell>
          <cell r="H52">
            <v>2302392.15</v>
          </cell>
          <cell r="I52">
            <v>2302392.15</v>
          </cell>
          <cell r="J52">
            <v>2302392.15</v>
          </cell>
          <cell r="K52">
            <v>2302392.15</v>
          </cell>
          <cell r="L52">
            <v>2302392.15</v>
          </cell>
          <cell r="M52">
            <v>2302392.15</v>
          </cell>
          <cell r="N52">
            <v>2302392.15</v>
          </cell>
          <cell r="O52">
            <v>2302392.15</v>
          </cell>
          <cell r="S52">
            <v>27628705.799999993</v>
          </cell>
          <cell r="T52">
            <v>27628705.799999993</v>
          </cell>
        </row>
        <row r="53">
          <cell r="F53">
            <v>747994.95000000007</v>
          </cell>
          <cell r="G53">
            <v>747994.95000000007</v>
          </cell>
          <cell r="H53">
            <v>747994.95000000007</v>
          </cell>
          <cell r="I53">
            <v>747994.95000000007</v>
          </cell>
          <cell r="J53">
            <v>747994.95000000007</v>
          </cell>
          <cell r="K53">
            <v>747994.95000000007</v>
          </cell>
          <cell r="L53">
            <v>747994.95000000007</v>
          </cell>
          <cell r="M53">
            <v>747994.95000000007</v>
          </cell>
          <cell r="N53">
            <v>747994.95000000007</v>
          </cell>
          <cell r="O53">
            <v>747994.95000000007</v>
          </cell>
          <cell r="S53">
            <v>8975939.4000000004</v>
          </cell>
          <cell r="T53">
            <v>8975939.4000000004</v>
          </cell>
        </row>
      </sheetData>
      <sheetData sheetId="21" refreshError="1">
        <row r="254">
          <cell r="F254">
            <v>191100.9</v>
          </cell>
          <cell r="G254">
            <v>191100.9</v>
          </cell>
          <cell r="H254">
            <v>191100.9</v>
          </cell>
          <cell r="I254">
            <v>191100.9</v>
          </cell>
          <cell r="J254">
            <v>191100.9</v>
          </cell>
          <cell r="K254">
            <v>191100.9</v>
          </cell>
          <cell r="L254">
            <v>191100.9</v>
          </cell>
          <cell r="M254">
            <v>191100.9</v>
          </cell>
          <cell r="N254">
            <v>191100.9</v>
          </cell>
          <cell r="O254">
            <v>191100.9</v>
          </cell>
          <cell r="S254">
            <v>2293211</v>
          </cell>
          <cell r="T254">
            <v>2293211</v>
          </cell>
        </row>
        <row r="275">
          <cell r="F275">
            <v>1206628.4153005464</v>
          </cell>
          <cell r="G275">
            <v>1167704.918032787</v>
          </cell>
          <cell r="H275">
            <v>1206628.4153005464</v>
          </cell>
          <cell r="I275">
            <v>1167704.918032787</v>
          </cell>
          <cell r="J275">
            <v>1206628.4153005464</v>
          </cell>
          <cell r="K275">
            <v>1206628.4153005464</v>
          </cell>
          <cell r="L275">
            <v>1167704.918032787</v>
          </cell>
          <cell r="M275">
            <v>1206628.4153005464</v>
          </cell>
          <cell r="N275">
            <v>1167704.918032787</v>
          </cell>
          <cell r="O275">
            <v>1206628.4153005464</v>
          </cell>
          <cell r="S275">
            <v>14246000</v>
          </cell>
          <cell r="T275">
            <v>14246000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>
            <v>35998538.399999991</v>
          </cell>
        </row>
        <row r="7">
          <cell r="B7">
            <v>65042179.946735553</v>
          </cell>
        </row>
        <row r="11">
          <cell r="B11">
            <v>21867839.999999996</v>
          </cell>
        </row>
        <row r="12">
          <cell r="B12">
            <v>27018145.856835879</v>
          </cell>
        </row>
        <row r="13">
          <cell r="B13">
            <v>7132666.614285714</v>
          </cell>
        </row>
        <row r="16">
          <cell r="B16">
            <v>114874201.65402716</v>
          </cell>
        </row>
        <row r="17">
          <cell r="B17">
            <v>12495264</v>
          </cell>
        </row>
        <row r="19">
          <cell r="B19">
            <v>34786049.829776593</v>
          </cell>
        </row>
        <row r="20">
          <cell r="B20">
            <v>5355112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ХР"/>
      <sheetName val="хоз.ахр"/>
      <sheetName val="GPS"/>
      <sheetName val="Техосмотр (2)"/>
      <sheetName val="вода офис"/>
      <sheetName val="бланочная"/>
      <sheetName val="аренда транспорта"/>
      <sheetName val="списание шин"/>
      <sheetName val="ПС-А"/>
      <sheetName val="ПС-К"/>
      <sheetName val="ПС-УКПГ"/>
      <sheetName val="ПС-УПГ "/>
      <sheetName val="ГСМ офис"/>
      <sheetName val="ГСМ мр"/>
      <sheetName val="Перевозка сотрудников"/>
      <sheetName val="хоз.расх мр "/>
      <sheetName val="Списание материалов"/>
      <sheetName val="питание"/>
      <sheetName val="вода(мр)"/>
      <sheetName val="Питание(1)"/>
      <sheetName val="уборка"/>
      <sheetName val="сти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G10">
            <v>8070480</v>
          </cell>
        </row>
        <row r="11">
          <cell r="G11">
            <v>8070480</v>
          </cell>
        </row>
        <row r="12">
          <cell r="G12">
            <v>8070480</v>
          </cell>
        </row>
        <row r="13">
          <cell r="G13">
            <v>8070480</v>
          </cell>
        </row>
        <row r="14">
          <cell r="G14">
            <v>8070480</v>
          </cell>
        </row>
        <row r="15">
          <cell r="G15">
            <v>8070480</v>
          </cell>
        </row>
        <row r="16">
          <cell r="G16">
            <v>8070480</v>
          </cell>
        </row>
        <row r="17">
          <cell r="G17">
            <v>8070480</v>
          </cell>
        </row>
        <row r="18">
          <cell r="G18">
            <v>8070480</v>
          </cell>
        </row>
        <row r="19">
          <cell r="G19">
            <v>8070480</v>
          </cell>
        </row>
        <row r="28">
          <cell r="G28">
            <v>1681350</v>
          </cell>
        </row>
        <row r="29">
          <cell r="G29">
            <v>1681350</v>
          </cell>
        </row>
        <row r="30">
          <cell r="G30">
            <v>1681350</v>
          </cell>
        </row>
        <row r="31">
          <cell r="G31">
            <v>1681350</v>
          </cell>
        </row>
        <row r="32">
          <cell r="G32">
            <v>1681350</v>
          </cell>
        </row>
        <row r="33">
          <cell r="G33">
            <v>1681350</v>
          </cell>
        </row>
        <row r="34">
          <cell r="G34">
            <v>1681350</v>
          </cell>
        </row>
        <row r="35">
          <cell r="G35">
            <v>1681350</v>
          </cell>
        </row>
        <row r="36">
          <cell r="G36">
            <v>1681350</v>
          </cell>
        </row>
        <row r="37">
          <cell r="G37">
            <v>1681350</v>
          </cell>
        </row>
        <row r="47">
          <cell r="G47">
            <v>672540</v>
          </cell>
        </row>
        <row r="48">
          <cell r="G48">
            <v>672540</v>
          </cell>
        </row>
        <row r="49">
          <cell r="G49">
            <v>672540</v>
          </cell>
        </row>
        <row r="50">
          <cell r="G50">
            <v>672540</v>
          </cell>
        </row>
        <row r="51">
          <cell r="G51">
            <v>672540</v>
          </cell>
        </row>
        <row r="52">
          <cell r="G52">
            <v>672540</v>
          </cell>
        </row>
        <row r="53">
          <cell r="G53">
            <v>672540</v>
          </cell>
        </row>
        <row r="54">
          <cell r="G54">
            <v>672540</v>
          </cell>
        </row>
        <row r="55">
          <cell r="G55">
            <v>672540</v>
          </cell>
        </row>
        <row r="56">
          <cell r="G56">
            <v>672540</v>
          </cell>
        </row>
        <row r="64">
          <cell r="G64">
            <v>3423840</v>
          </cell>
        </row>
        <row r="65">
          <cell r="G65">
            <v>3423840</v>
          </cell>
        </row>
        <row r="66">
          <cell r="G66">
            <v>3423840</v>
          </cell>
        </row>
        <row r="67">
          <cell r="G67">
            <v>3423840</v>
          </cell>
        </row>
        <row r="68">
          <cell r="G68">
            <v>3423840</v>
          </cell>
        </row>
        <row r="69">
          <cell r="G69">
            <v>3423840</v>
          </cell>
        </row>
        <row r="70">
          <cell r="G70">
            <v>3423840</v>
          </cell>
        </row>
        <row r="71">
          <cell r="G71">
            <v>3423840</v>
          </cell>
        </row>
        <row r="72">
          <cell r="G72">
            <v>3423840</v>
          </cell>
        </row>
        <row r="73">
          <cell r="G73">
            <v>3423840</v>
          </cell>
        </row>
        <row r="81">
          <cell r="G81">
            <v>1131090</v>
          </cell>
        </row>
        <row r="82">
          <cell r="G82">
            <v>1131090</v>
          </cell>
        </row>
        <row r="83">
          <cell r="G83">
            <v>1131090</v>
          </cell>
        </row>
        <row r="84">
          <cell r="G84">
            <v>1131090</v>
          </cell>
        </row>
        <row r="85">
          <cell r="G85">
            <v>1131090</v>
          </cell>
        </row>
        <row r="86">
          <cell r="G86">
            <v>1131090</v>
          </cell>
        </row>
        <row r="87">
          <cell r="G87">
            <v>1131090</v>
          </cell>
        </row>
        <row r="88">
          <cell r="G88">
            <v>1131090</v>
          </cell>
        </row>
        <row r="89">
          <cell r="G89">
            <v>1131090</v>
          </cell>
        </row>
        <row r="90">
          <cell r="G90">
            <v>1131090</v>
          </cell>
        </row>
        <row r="97">
          <cell r="G97">
            <v>4076000</v>
          </cell>
        </row>
        <row r="98">
          <cell r="G98">
            <v>1019000</v>
          </cell>
        </row>
        <row r="112">
          <cell r="J112">
            <v>185865600</v>
          </cell>
          <cell r="P112">
            <v>185865600</v>
          </cell>
        </row>
      </sheetData>
      <sheetData sheetId="20">
        <row r="10">
          <cell r="F10">
            <v>752400</v>
          </cell>
        </row>
        <row r="11">
          <cell r="F11">
            <v>752400</v>
          </cell>
        </row>
        <row r="12">
          <cell r="F12">
            <v>752400</v>
          </cell>
        </row>
        <row r="13">
          <cell r="F13">
            <v>752400</v>
          </cell>
        </row>
        <row r="14">
          <cell r="F14">
            <v>752400</v>
          </cell>
        </row>
        <row r="15">
          <cell r="F15">
            <v>752400</v>
          </cell>
        </row>
        <row r="16">
          <cell r="F16">
            <v>752400</v>
          </cell>
        </row>
        <row r="17">
          <cell r="F17">
            <v>752400</v>
          </cell>
        </row>
        <row r="18">
          <cell r="F18">
            <v>752400</v>
          </cell>
        </row>
        <row r="19">
          <cell r="F19">
            <v>752400</v>
          </cell>
        </row>
        <row r="28">
          <cell r="F28">
            <v>156750</v>
          </cell>
        </row>
        <row r="29">
          <cell r="F29">
            <v>156750</v>
          </cell>
        </row>
        <row r="30">
          <cell r="F30">
            <v>156750</v>
          </cell>
        </row>
        <row r="31">
          <cell r="F31">
            <v>156750</v>
          </cell>
        </row>
        <row r="32">
          <cell r="F32">
            <v>156750</v>
          </cell>
        </row>
        <row r="33">
          <cell r="F33">
            <v>156750</v>
          </cell>
        </row>
        <row r="34">
          <cell r="F34">
            <v>156750</v>
          </cell>
        </row>
        <row r="35">
          <cell r="F35">
            <v>156750</v>
          </cell>
        </row>
        <row r="36">
          <cell r="F36">
            <v>156750</v>
          </cell>
        </row>
        <row r="37">
          <cell r="F37">
            <v>156750</v>
          </cell>
        </row>
        <row r="47">
          <cell r="F47">
            <v>530100</v>
          </cell>
        </row>
        <row r="48">
          <cell r="F48">
            <v>530100</v>
          </cell>
        </row>
        <row r="49">
          <cell r="F49">
            <v>530100</v>
          </cell>
        </row>
        <row r="50">
          <cell r="F50">
            <v>530100</v>
          </cell>
        </row>
        <row r="51">
          <cell r="F51">
            <v>530100</v>
          </cell>
        </row>
        <row r="52">
          <cell r="F52">
            <v>530100</v>
          </cell>
        </row>
        <row r="53">
          <cell r="F53">
            <v>530100</v>
          </cell>
        </row>
        <row r="54">
          <cell r="F54">
            <v>530100</v>
          </cell>
        </row>
        <row r="55">
          <cell r="F55">
            <v>530100</v>
          </cell>
        </row>
        <row r="56">
          <cell r="F56">
            <v>530100</v>
          </cell>
        </row>
        <row r="64">
          <cell r="F64">
            <v>319200</v>
          </cell>
        </row>
        <row r="65">
          <cell r="F65">
            <v>319200</v>
          </cell>
        </row>
        <row r="66">
          <cell r="F66">
            <v>319200</v>
          </cell>
        </row>
        <row r="67">
          <cell r="F67">
            <v>319200</v>
          </cell>
        </row>
        <row r="68">
          <cell r="F68">
            <v>319200</v>
          </cell>
        </row>
        <row r="69">
          <cell r="F69">
            <v>319200</v>
          </cell>
        </row>
        <row r="70">
          <cell r="F70">
            <v>319200</v>
          </cell>
        </row>
        <row r="71">
          <cell r="F71">
            <v>319200</v>
          </cell>
        </row>
        <row r="72">
          <cell r="F72">
            <v>319200</v>
          </cell>
        </row>
        <row r="73">
          <cell r="F73">
            <v>319200</v>
          </cell>
        </row>
        <row r="81">
          <cell r="F81">
            <v>105450</v>
          </cell>
        </row>
        <row r="82">
          <cell r="F82">
            <v>105450</v>
          </cell>
        </row>
        <row r="83">
          <cell r="F83">
            <v>105450</v>
          </cell>
        </row>
        <row r="84">
          <cell r="F84">
            <v>105450</v>
          </cell>
        </row>
        <row r="85">
          <cell r="F85">
            <v>105450</v>
          </cell>
        </row>
        <row r="86">
          <cell r="F86">
            <v>105450</v>
          </cell>
        </row>
        <row r="87">
          <cell r="F87">
            <v>105450</v>
          </cell>
        </row>
        <row r="88">
          <cell r="F88">
            <v>105450</v>
          </cell>
        </row>
        <row r="89">
          <cell r="F89">
            <v>105450</v>
          </cell>
        </row>
        <row r="90">
          <cell r="F90">
            <v>105450</v>
          </cell>
        </row>
        <row r="97">
          <cell r="F97">
            <v>380000</v>
          </cell>
        </row>
        <row r="98">
          <cell r="F98">
            <v>95000</v>
          </cell>
        </row>
        <row r="105">
          <cell r="J105">
            <v>22936800</v>
          </cell>
          <cell r="Q105">
            <v>22936800</v>
          </cell>
        </row>
      </sheetData>
      <sheetData sheetId="21">
        <row r="10">
          <cell r="F10">
            <v>479160</v>
          </cell>
        </row>
        <row r="11">
          <cell r="F11">
            <v>479160</v>
          </cell>
        </row>
        <row r="12">
          <cell r="F12">
            <v>479160</v>
          </cell>
        </row>
        <row r="13">
          <cell r="F13">
            <v>479160</v>
          </cell>
        </row>
        <row r="14">
          <cell r="F14">
            <v>479160</v>
          </cell>
        </row>
        <row r="15">
          <cell r="F15">
            <v>479160</v>
          </cell>
        </row>
        <row r="16">
          <cell r="F16">
            <v>479160</v>
          </cell>
        </row>
        <row r="17">
          <cell r="F17">
            <v>479160</v>
          </cell>
        </row>
        <row r="18">
          <cell r="F18">
            <v>479160</v>
          </cell>
        </row>
        <row r="19">
          <cell r="F19">
            <v>479160</v>
          </cell>
        </row>
        <row r="28">
          <cell r="F28">
            <v>99825</v>
          </cell>
        </row>
        <row r="29">
          <cell r="F29">
            <v>99825</v>
          </cell>
        </row>
        <row r="30">
          <cell r="F30">
            <v>99825</v>
          </cell>
        </row>
        <row r="31">
          <cell r="F31">
            <v>99825</v>
          </cell>
        </row>
        <row r="32">
          <cell r="F32">
            <v>99825</v>
          </cell>
        </row>
        <row r="33">
          <cell r="F33">
            <v>99825</v>
          </cell>
        </row>
        <row r="34">
          <cell r="F34">
            <v>99825</v>
          </cell>
        </row>
        <row r="35">
          <cell r="F35">
            <v>99825</v>
          </cell>
        </row>
        <row r="36">
          <cell r="F36">
            <v>99825</v>
          </cell>
        </row>
        <row r="37">
          <cell r="F37">
            <v>99825</v>
          </cell>
        </row>
        <row r="47">
          <cell r="F47">
            <v>337590</v>
          </cell>
        </row>
        <row r="48">
          <cell r="F48">
            <v>337590</v>
          </cell>
        </row>
        <row r="49">
          <cell r="F49">
            <v>337590</v>
          </cell>
        </row>
        <row r="50">
          <cell r="F50">
            <v>337590</v>
          </cell>
        </row>
        <row r="51">
          <cell r="F51">
            <v>337590</v>
          </cell>
        </row>
        <row r="52">
          <cell r="F52">
            <v>337590</v>
          </cell>
        </row>
        <row r="53">
          <cell r="F53">
            <v>337590</v>
          </cell>
        </row>
        <row r="54">
          <cell r="F54">
            <v>337590</v>
          </cell>
        </row>
        <row r="55">
          <cell r="F55">
            <v>337590</v>
          </cell>
        </row>
        <row r="56">
          <cell r="F56">
            <v>337590</v>
          </cell>
        </row>
        <row r="64">
          <cell r="F64">
            <v>203280</v>
          </cell>
        </row>
        <row r="65">
          <cell r="F65">
            <v>203280</v>
          </cell>
        </row>
        <row r="66">
          <cell r="F66">
            <v>203280</v>
          </cell>
        </row>
        <row r="67">
          <cell r="F67">
            <v>203280</v>
          </cell>
        </row>
        <row r="68">
          <cell r="F68">
            <v>203280</v>
          </cell>
        </row>
        <row r="69">
          <cell r="F69">
            <v>203280</v>
          </cell>
        </row>
        <row r="70">
          <cell r="F70">
            <v>203280</v>
          </cell>
        </row>
        <row r="71">
          <cell r="F71">
            <v>203280</v>
          </cell>
        </row>
        <row r="72">
          <cell r="F72">
            <v>203280</v>
          </cell>
        </row>
        <row r="73">
          <cell r="F73">
            <v>203280</v>
          </cell>
        </row>
        <row r="81">
          <cell r="F81">
            <v>67155</v>
          </cell>
        </row>
        <row r="82">
          <cell r="F82">
            <v>67155</v>
          </cell>
        </row>
        <row r="83">
          <cell r="F83">
            <v>67155</v>
          </cell>
        </row>
        <row r="84">
          <cell r="F84">
            <v>67155</v>
          </cell>
        </row>
        <row r="85">
          <cell r="F85">
            <v>67155</v>
          </cell>
        </row>
        <row r="86">
          <cell r="F86">
            <v>67155</v>
          </cell>
        </row>
        <row r="87">
          <cell r="F87">
            <v>67155</v>
          </cell>
        </row>
        <row r="88">
          <cell r="F88">
            <v>67155</v>
          </cell>
        </row>
        <row r="89">
          <cell r="F89">
            <v>67155</v>
          </cell>
        </row>
        <row r="90">
          <cell r="F90">
            <v>67155</v>
          </cell>
        </row>
        <row r="97">
          <cell r="F97">
            <v>242000</v>
          </cell>
        </row>
        <row r="98">
          <cell r="F98">
            <v>60500</v>
          </cell>
        </row>
        <row r="108">
          <cell r="I108">
            <v>14607120</v>
          </cell>
          <cell r="O108">
            <v>14607120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W55"/>
  <sheetViews>
    <sheetView view="pageBreakPreview" zoomScale="60" zoomScaleNormal="70" workbookViewId="0">
      <pane xSplit="4" ySplit="10" topLeftCell="I35" activePane="bottomRight" state="frozen"/>
      <selection pane="topRight" activeCell="E1" sqref="E1"/>
      <selection pane="bottomLeft" activeCell="A11" sqref="A11"/>
      <selection pane="bottomRight" activeCell="L11" sqref="L11:L42"/>
    </sheetView>
  </sheetViews>
  <sheetFormatPr defaultRowHeight="18.75" outlineLevelCol="1" x14ac:dyDescent="0.3"/>
  <cols>
    <col min="1" max="1" width="5.09765625" customWidth="1"/>
    <col min="2" max="2" width="17.59765625" customWidth="1"/>
    <col min="3" max="3" width="28.8984375" customWidth="1"/>
    <col min="4" max="4" width="32.296875" customWidth="1"/>
    <col min="5" max="5" width="12.796875" style="16" customWidth="1"/>
    <col min="6" max="6" width="10.19921875" customWidth="1"/>
    <col min="7" max="7" width="12.69921875" style="16" customWidth="1"/>
    <col min="8" max="8" width="18.69921875" style="18" customWidth="1"/>
    <col min="9" max="9" width="12.296875" style="18" customWidth="1"/>
    <col min="10" max="10" width="14" style="16" customWidth="1"/>
    <col min="11" max="11" width="13.3984375" style="16" customWidth="1"/>
    <col min="12" max="12" width="17.59765625" style="16" bestFit="1" customWidth="1"/>
    <col min="13" max="13" width="17.59765625" style="16" customWidth="1"/>
    <col min="14" max="14" width="17.59765625" style="16" bestFit="1" customWidth="1"/>
    <col min="15" max="15" width="12.296875" hidden="1" customWidth="1" outlineLevel="1"/>
    <col min="16" max="16" width="13.09765625" hidden="1" customWidth="1" outlineLevel="1"/>
    <col min="17" max="17" width="12.09765625" hidden="1" customWidth="1" outlineLevel="1"/>
    <col min="18" max="18" width="12.59765625" hidden="1" customWidth="1" outlineLevel="1"/>
    <col min="19" max="19" width="12.69921875" hidden="1" customWidth="1" outlineLevel="1"/>
    <col min="20" max="20" width="11.19921875" hidden="1" customWidth="1" outlineLevel="1"/>
    <col min="21" max="21" width="15.09765625" customWidth="1" collapsed="1"/>
  </cols>
  <sheetData>
    <row r="2" spans="1:23" x14ac:dyDescent="0.3">
      <c r="M2" s="26" t="s">
        <v>18</v>
      </c>
    </row>
    <row r="3" spans="1:23" ht="19.5" thickBot="1" x14ac:dyDescent="0.35">
      <c r="K3" s="24"/>
      <c r="L3" s="24"/>
      <c r="M3" s="26" t="s">
        <v>70</v>
      </c>
      <c r="N3" s="28"/>
    </row>
    <row r="4" spans="1:23" x14ac:dyDescent="0.3">
      <c r="K4" s="24"/>
      <c r="L4" s="24"/>
    </row>
    <row r="6" spans="1:23" ht="26.25" customHeight="1" x14ac:dyDescent="0.3">
      <c r="A6" s="66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23" s="1" customFormat="1" ht="15" x14ac:dyDescent="0.25">
      <c r="E7" s="17"/>
      <c r="G7" s="17"/>
      <c r="H7" s="19"/>
      <c r="I7" s="19"/>
      <c r="J7" s="17"/>
      <c r="K7" s="17"/>
      <c r="L7" s="17"/>
      <c r="M7" s="17"/>
      <c r="N7" s="17"/>
    </row>
    <row r="8" spans="1:23" s="1" customFormat="1" ht="15" x14ac:dyDescent="0.25">
      <c r="E8" s="17"/>
      <c r="G8" s="17"/>
      <c r="H8" s="19"/>
      <c r="I8" s="19"/>
      <c r="J8" s="17"/>
      <c r="K8" s="17"/>
      <c r="L8" s="42" t="s">
        <v>82</v>
      </c>
      <c r="M8" s="17"/>
      <c r="N8" s="17"/>
    </row>
    <row r="9" spans="1:23" s="1" customFormat="1" ht="41.25" customHeight="1" x14ac:dyDescent="0.25">
      <c r="A9" s="69" t="s">
        <v>0</v>
      </c>
      <c r="B9" s="69" t="s">
        <v>1</v>
      </c>
      <c r="C9" s="69" t="s">
        <v>2</v>
      </c>
      <c r="D9" s="69" t="s">
        <v>3</v>
      </c>
      <c r="E9" s="69" t="s">
        <v>4</v>
      </c>
      <c r="F9" s="69" t="s">
        <v>5</v>
      </c>
      <c r="G9" s="69" t="s">
        <v>6</v>
      </c>
      <c r="H9" s="68" t="s">
        <v>7</v>
      </c>
      <c r="I9" s="68" t="s">
        <v>8</v>
      </c>
      <c r="J9" s="69" t="s">
        <v>9</v>
      </c>
      <c r="K9" s="69" t="s">
        <v>10</v>
      </c>
      <c r="L9" s="69" t="s">
        <v>11</v>
      </c>
      <c r="M9" s="69"/>
      <c r="N9" s="69"/>
      <c r="O9" s="67" t="s">
        <v>48</v>
      </c>
      <c r="P9" s="67"/>
      <c r="Q9" s="67"/>
      <c r="R9" s="67" t="s">
        <v>48</v>
      </c>
      <c r="S9" s="67"/>
      <c r="T9" s="67"/>
    </row>
    <row r="10" spans="1:23" s="1" customFormat="1" ht="30.75" customHeight="1" x14ac:dyDescent="0.25">
      <c r="A10" s="69"/>
      <c r="B10" s="69"/>
      <c r="C10" s="69"/>
      <c r="D10" s="69"/>
      <c r="E10" s="69"/>
      <c r="F10" s="69"/>
      <c r="G10" s="69"/>
      <c r="H10" s="68"/>
      <c r="I10" s="68"/>
      <c r="J10" s="69"/>
      <c r="K10" s="69"/>
      <c r="L10" s="15">
        <v>2017</v>
      </c>
      <c r="M10" s="15">
        <v>2018</v>
      </c>
      <c r="N10" s="15">
        <v>2019</v>
      </c>
      <c r="O10" s="11" t="s">
        <v>49</v>
      </c>
      <c r="P10" s="11">
        <v>2018</v>
      </c>
      <c r="Q10" s="11">
        <v>2019</v>
      </c>
      <c r="R10" s="11" t="s">
        <v>50</v>
      </c>
      <c r="S10" s="11" t="s">
        <v>50</v>
      </c>
      <c r="T10" s="11" t="s">
        <v>50</v>
      </c>
    </row>
    <row r="11" spans="1:23" s="1" customFormat="1" ht="60" x14ac:dyDescent="0.25">
      <c r="A11" s="3">
        <v>1</v>
      </c>
      <c r="B11" s="3" t="s">
        <v>12</v>
      </c>
      <c r="C11" s="3" t="s">
        <v>51</v>
      </c>
      <c r="D11" s="3" t="s">
        <v>67</v>
      </c>
      <c r="E11" s="15" t="s">
        <v>20</v>
      </c>
      <c r="F11" s="7">
        <v>1</v>
      </c>
      <c r="G11" s="4" t="s">
        <v>80</v>
      </c>
      <c r="H11" s="20" t="s">
        <v>21</v>
      </c>
      <c r="I11" s="21" t="s">
        <v>13</v>
      </c>
      <c r="J11" s="13" t="e">
        <f>L11+M11+N11</f>
        <v>#VALUE!</v>
      </c>
      <c r="K11" s="13" t="e">
        <f>J11*1.12</f>
        <v>#VALUE!</v>
      </c>
      <c r="L11" s="43">
        <f>([1]TPD!$G$4+[2]TPD!$G$56)/1.12</f>
        <v>90256030.999999985</v>
      </c>
      <c r="M11" s="13" t="s">
        <v>83</v>
      </c>
      <c r="N11" s="13"/>
      <c r="O11" s="12">
        <v>79763511</v>
      </c>
      <c r="P11" s="12">
        <f>'[3]Общий бюджет'!$T$19</f>
        <v>100403985</v>
      </c>
      <c r="Q11" s="12">
        <f>'[3]Общий бюджет'!$U$19</f>
        <v>102444393</v>
      </c>
      <c r="R11" s="12">
        <f>O11-L11</f>
        <v>-10492519.999999985</v>
      </c>
      <c r="S11" s="12" t="e">
        <f>P11-M11</f>
        <v>#VALUE!</v>
      </c>
      <c r="T11" s="12">
        <f>Q11-N11</f>
        <v>102444393</v>
      </c>
      <c r="U11" s="1">
        <v>90256030.999999985</v>
      </c>
    </row>
    <row r="12" spans="1:23" s="1" customFormat="1" ht="60" x14ac:dyDescent="0.25">
      <c r="A12" s="3">
        <v>2</v>
      </c>
      <c r="B12" s="3" t="s">
        <v>12</v>
      </c>
      <c r="C12" s="3" t="s">
        <v>52</v>
      </c>
      <c r="D12" s="3" t="s">
        <v>68</v>
      </c>
      <c r="E12" s="15" t="s">
        <v>20</v>
      </c>
      <c r="F12" s="7">
        <v>1</v>
      </c>
      <c r="G12" s="4" t="s">
        <v>80</v>
      </c>
      <c r="H12" s="20" t="s">
        <v>21</v>
      </c>
      <c r="I12" s="21" t="s">
        <v>13</v>
      </c>
      <c r="J12" s="13" t="e">
        <f t="shared" ref="J12:J42" si="0">L12+M12+N12</f>
        <v>#VALUE!</v>
      </c>
      <c r="K12" s="13" t="e">
        <f t="shared" ref="K12:K42" si="1">J12*1.12</f>
        <v>#VALUE!</v>
      </c>
      <c r="L12" s="43">
        <f>([2]TPD!$G$52+[2]TPD!$G$53+[1]TPD!$G$18)/1.12</f>
        <v>536572165.99999994</v>
      </c>
      <c r="M12" s="13" t="s">
        <v>83</v>
      </c>
      <c r="N12" s="13"/>
      <c r="O12" s="12">
        <f>SUM('[4]обслуж УЭЦН'!$S$21:$AB$21)</f>
        <v>84371544</v>
      </c>
      <c r="P12" s="12">
        <v>104664830</v>
      </c>
      <c r="Q12" s="12">
        <v>108690401</v>
      </c>
      <c r="R12" s="12">
        <f t="shared" ref="R12:R42" si="2">O12-L12</f>
        <v>-452200621.99999994</v>
      </c>
      <c r="S12" s="12" t="e">
        <f t="shared" ref="S12:S42" si="3">P12-M12</f>
        <v>#VALUE!</v>
      </c>
      <c r="T12" s="12">
        <f t="shared" ref="T12:T42" si="4">Q12-N12</f>
        <v>108690401</v>
      </c>
      <c r="U12" s="1">
        <v>536572165.99999994</v>
      </c>
    </row>
    <row r="13" spans="1:23" s="1" customFormat="1" ht="60" x14ac:dyDescent="0.25">
      <c r="A13" s="3">
        <v>3</v>
      </c>
      <c r="B13" s="3" t="s">
        <v>12</v>
      </c>
      <c r="C13" s="3" t="s">
        <v>53</v>
      </c>
      <c r="D13" s="3" t="s">
        <v>23</v>
      </c>
      <c r="E13" s="15" t="s">
        <v>20</v>
      </c>
      <c r="F13" s="7">
        <v>1</v>
      </c>
      <c r="G13" s="4" t="s">
        <v>80</v>
      </c>
      <c r="H13" s="21" t="s">
        <v>21</v>
      </c>
      <c r="I13" s="21" t="s">
        <v>13</v>
      </c>
      <c r="J13" s="13" t="e">
        <f t="shared" si="0"/>
        <v>#VALUE!</v>
      </c>
      <c r="K13" s="13" t="e">
        <f t="shared" si="1"/>
        <v>#VALUE!</v>
      </c>
      <c r="L13" s="43">
        <f>([2]TЕМ!$G$174+[2]TЕМ!$G$175)/1.12+W13</f>
        <v>124373940</v>
      </c>
      <c r="M13" s="13" t="s">
        <v>90</v>
      </c>
      <c r="N13" s="13"/>
      <c r="O13" s="12">
        <f>SUM([5]Алибек!$F$231:$O$231)</f>
        <v>103644950.9006217</v>
      </c>
      <c r="P13" s="12">
        <f>[5]Алибек!S231</f>
        <v>124373941.08074604</v>
      </c>
      <c r="Q13" s="12">
        <f>[5]Алибек!T231</f>
        <v>124373941.08074604</v>
      </c>
      <c r="R13" s="12">
        <f t="shared" si="2"/>
        <v>-20728989.099378303</v>
      </c>
      <c r="S13" s="12" t="e">
        <f t="shared" si="3"/>
        <v>#VALUE!</v>
      </c>
      <c r="T13" s="12">
        <f t="shared" si="4"/>
        <v>124373941.08074604</v>
      </c>
      <c r="U13" s="1">
        <f>L13/3</f>
        <v>41457980</v>
      </c>
      <c r="V13" s="1">
        <v>1</v>
      </c>
      <c r="W13" s="1">
        <v>93280455</v>
      </c>
    </row>
    <row r="14" spans="1:23" s="1" customFormat="1" ht="60" x14ac:dyDescent="0.25">
      <c r="A14" s="3">
        <v>4</v>
      </c>
      <c r="B14" s="3" t="s">
        <v>12</v>
      </c>
      <c r="C14" s="3" t="s">
        <v>53</v>
      </c>
      <c r="D14" s="3" t="s">
        <v>24</v>
      </c>
      <c r="E14" s="15" t="s">
        <v>20</v>
      </c>
      <c r="F14" s="7">
        <v>1</v>
      </c>
      <c r="G14" s="4" t="s">
        <v>80</v>
      </c>
      <c r="H14" s="21" t="s">
        <v>21</v>
      </c>
      <c r="I14" s="21" t="s">
        <v>13</v>
      </c>
      <c r="J14" s="13" t="e">
        <f t="shared" si="0"/>
        <v>#VALUE!</v>
      </c>
      <c r="K14" s="13" t="e">
        <f t="shared" si="1"/>
        <v>#VALUE!</v>
      </c>
      <c r="L14" s="43">
        <f>([2]TЕМ!$G$176+[2]TЕМ!$G$177)/1.12+W14</f>
        <v>48137820</v>
      </c>
      <c r="M14" s="13" t="s">
        <v>90</v>
      </c>
      <c r="N14" s="13"/>
      <c r="O14" s="12">
        <f>SUM([5]Кожасай!$F$216:$O$216)</f>
        <v>40114847.680101275</v>
      </c>
      <c r="P14" s="12">
        <f>[5]Кожасай!S216</f>
        <v>48137817.216121525</v>
      </c>
      <c r="Q14" s="12">
        <f>[5]Кожасай!T216</f>
        <v>48137817.216121525</v>
      </c>
      <c r="R14" s="12">
        <f t="shared" si="2"/>
        <v>-8022972.3198987246</v>
      </c>
      <c r="S14" s="12" t="e">
        <f t="shared" si="3"/>
        <v>#VALUE!</v>
      </c>
      <c r="T14" s="12">
        <f t="shared" si="4"/>
        <v>48137817.216121525</v>
      </c>
      <c r="U14" s="1">
        <f>L14/3</f>
        <v>16045940</v>
      </c>
      <c r="V14" s="1">
        <v>1</v>
      </c>
      <c r="W14" s="1">
        <v>36103365</v>
      </c>
    </row>
    <row r="15" spans="1:23" s="1" customFormat="1" ht="60" x14ac:dyDescent="0.25">
      <c r="A15" s="3">
        <v>5</v>
      </c>
      <c r="B15" s="3" t="s">
        <v>12</v>
      </c>
      <c r="C15" s="3" t="s">
        <v>53</v>
      </c>
      <c r="D15" s="3" t="s">
        <v>25</v>
      </c>
      <c r="E15" s="15" t="s">
        <v>20</v>
      </c>
      <c r="F15" s="7">
        <v>1</v>
      </c>
      <c r="G15" s="4" t="s">
        <v>80</v>
      </c>
      <c r="H15" s="21" t="s">
        <v>21</v>
      </c>
      <c r="I15" s="21" t="s">
        <v>13</v>
      </c>
      <c r="J15" s="13" t="e">
        <f t="shared" si="0"/>
        <v>#VALUE!</v>
      </c>
      <c r="K15" s="13" t="e">
        <f t="shared" si="1"/>
        <v>#VALUE!</v>
      </c>
      <c r="L15" s="43">
        <f>([2]TЕМ!$G$199+[2]TЕМ!$G$200)/1.12+37007657.58</f>
        <v>45758897.579999998</v>
      </c>
      <c r="M15" s="13" t="s">
        <v>90</v>
      </c>
      <c r="N15" s="13"/>
      <c r="O15" s="12">
        <f>SUM([5]Алибек!$F$232:$O$232)</f>
        <v>44919791.830068268</v>
      </c>
      <c r="P15" s="12">
        <f>[5]Алибек!S232</f>
        <v>50753952</v>
      </c>
      <c r="Q15" s="12">
        <f>[5]Алибек!T232</f>
        <v>50753952</v>
      </c>
      <c r="R15" s="12">
        <f>O15-L15</f>
        <v>-839105.74993173033</v>
      </c>
      <c r="S15" s="12" t="e">
        <f t="shared" si="3"/>
        <v>#VALUE!</v>
      </c>
      <c r="T15" s="12">
        <f t="shared" si="4"/>
        <v>50753952</v>
      </c>
    </row>
    <row r="16" spans="1:23" s="1" customFormat="1" ht="60" x14ac:dyDescent="0.25">
      <c r="A16" s="3">
        <v>6</v>
      </c>
      <c r="B16" s="3" t="s">
        <v>12</v>
      </c>
      <c r="C16" s="3" t="s">
        <v>53</v>
      </c>
      <c r="D16" s="3" t="s">
        <v>26</v>
      </c>
      <c r="E16" s="15" t="s">
        <v>20</v>
      </c>
      <c r="F16" s="7">
        <v>1</v>
      </c>
      <c r="G16" s="4" t="s">
        <v>80</v>
      </c>
      <c r="H16" s="21" t="s">
        <v>21</v>
      </c>
      <c r="I16" s="21" t="s">
        <v>13</v>
      </c>
      <c r="J16" s="13" t="e">
        <f t="shared" si="0"/>
        <v>#VALUE!</v>
      </c>
      <c r="K16" s="13" t="e">
        <f t="shared" si="1"/>
        <v>#VALUE!</v>
      </c>
      <c r="L16" s="43">
        <f>([2]TЕМ!$G$193+[2]TЕМ!$G$194)/1.12+28844070.46</f>
        <v>35450997.495714284</v>
      </c>
      <c r="M16" s="13" t="s">
        <v>90</v>
      </c>
      <c r="N16" s="13"/>
      <c r="O16" s="12">
        <f>SUM([5]Кожасай!$F$217:$O$217)</f>
        <v>26095348.214386672</v>
      </c>
      <c r="P16" s="12">
        <f>[5]Кожасай!S217</f>
        <v>30499966.457264006</v>
      </c>
      <c r="Q16" s="12">
        <f>[5]Кожасай!T217</f>
        <v>30499966.457264006</v>
      </c>
      <c r="R16" s="12">
        <f>O16-L16</f>
        <v>-9355649.2813276127</v>
      </c>
      <c r="S16" s="12" t="e">
        <f t="shared" si="3"/>
        <v>#VALUE!</v>
      </c>
      <c r="T16" s="12">
        <f t="shared" si="4"/>
        <v>30499966.457264006</v>
      </c>
    </row>
    <row r="17" spans="1:23" s="1" customFormat="1" ht="60" x14ac:dyDescent="0.25">
      <c r="A17" s="3">
        <v>7</v>
      </c>
      <c r="B17" s="3" t="s">
        <v>12</v>
      </c>
      <c r="C17" s="3" t="s">
        <v>53</v>
      </c>
      <c r="D17" s="3" t="s">
        <v>27</v>
      </c>
      <c r="E17" s="15" t="s">
        <v>20</v>
      </c>
      <c r="F17" s="7">
        <v>1</v>
      </c>
      <c r="G17" s="4" t="s">
        <v>80</v>
      </c>
      <c r="H17" s="21" t="s">
        <v>21</v>
      </c>
      <c r="I17" s="21" t="s">
        <v>13</v>
      </c>
      <c r="J17" s="13" t="e">
        <f t="shared" si="0"/>
        <v>#VALUE!</v>
      </c>
      <c r="K17" s="13" t="e">
        <f t="shared" si="1"/>
        <v>#VALUE!</v>
      </c>
      <c r="L17" s="43">
        <f>([2]TЕМ!$G$171+[2]TЕМ!$G$172)/1.12+W17</f>
        <v>45497375.928571425</v>
      </c>
      <c r="M17" s="13" t="s">
        <v>90</v>
      </c>
      <c r="N17" s="13"/>
      <c r="O17" s="12">
        <f>SUM('[5]УКПГ-50'!$F$48:$O$48)</f>
        <v>37914481.538251646</v>
      </c>
      <c r="P17" s="12">
        <f>'[5]УКПГ-50'!S48</f>
        <v>45497377.845901974</v>
      </c>
      <c r="Q17" s="12">
        <f>'[5]УКПГ-50'!T48</f>
        <v>45497377.845901974</v>
      </c>
      <c r="R17" s="12">
        <f t="shared" si="2"/>
        <v>-7582894.3903197795</v>
      </c>
      <c r="S17" s="12" t="e">
        <f t="shared" si="3"/>
        <v>#VALUE!</v>
      </c>
      <c r="T17" s="12">
        <f t="shared" si="4"/>
        <v>45497377.845901974</v>
      </c>
      <c r="U17" s="1">
        <f t="shared" ref="U17:U18" si="5">L17/3</f>
        <v>15165791.976190476</v>
      </c>
      <c r="V17" s="1">
        <v>1</v>
      </c>
      <c r="W17" s="1">
        <v>34123031.946428567</v>
      </c>
    </row>
    <row r="18" spans="1:23" s="1" customFormat="1" ht="60" x14ac:dyDescent="0.25">
      <c r="A18" s="3">
        <v>8</v>
      </c>
      <c r="B18" s="3" t="s">
        <v>12</v>
      </c>
      <c r="C18" s="3" t="s">
        <v>53</v>
      </c>
      <c r="D18" s="3" t="s">
        <v>28</v>
      </c>
      <c r="E18" s="15" t="s">
        <v>20</v>
      </c>
      <c r="F18" s="7">
        <v>1</v>
      </c>
      <c r="G18" s="4" t="s">
        <v>80</v>
      </c>
      <c r="H18" s="21" t="s">
        <v>21</v>
      </c>
      <c r="I18" s="21" t="s">
        <v>13</v>
      </c>
      <c r="J18" s="13" t="e">
        <f t="shared" si="0"/>
        <v>#VALUE!</v>
      </c>
      <c r="K18" s="13" t="e">
        <f t="shared" si="1"/>
        <v>#VALUE!</v>
      </c>
      <c r="L18" s="43">
        <f>([2]TЕМ!$G$178+[2]TЕМ!$G$179)/1.12+W18</f>
        <v>19509071.857142854</v>
      </c>
      <c r="M18" s="13" t="s">
        <v>90</v>
      </c>
      <c r="N18" s="13"/>
      <c r="O18" s="12">
        <f>SUM('[5]УПГ-29'!$F$48:$O$48)</f>
        <v>16257563.637001108</v>
      </c>
      <c r="P18" s="12">
        <f>'[5]УПГ-29'!S48</f>
        <v>19509076.364401329</v>
      </c>
      <c r="Q18" s="12">
        <f>'[5]УПГ-29'!T48</f>
        <v>19509076.364401329</v>
      </c>
      <c r="R18" s="12">
        <f t="shared" si="2"/>
        <v>-3251508.2201417461</v>
      </c>
      <c r="S18" s="12" t="e">
        <f t="shared" si="3"/>
        <v>#VALUE!</v>
      </c>
      <c r="T18" s="12">
        <f t="shared" si="4"/>
        <v>19509076.364401329</v>
      </c>
      <c r="U18" s="1">
        <f t="shared" si="5"/>
        <v>6503023.9523809515</v>
      </c>
      <c r="V18" s="1">
        <v>1</v>
      </c>
      <c r="W18" s="1">
        <v>14631803.892857142</v>
      </c>
    </row>
    <row r="19" spans="1:23" s="1" customFormat="1" ht="60" x14ac:dyDescent="0.25">
      <c r="A19" s="3">
        <v>9</v>
      </c>
      <c r="B19" s="3" t="s">
        <v>12</v>
      </c>
      <c r="C19" s="3" t="s">
        <v>53</v>
      </c>
      <c r="D19" s="3" t="s">
        <v>29</v>
      </c>
      <c r="E19" s="15" t="s">
        <v>20</v>
      </c>
      <c r="F19" s="7">
        <v>1</v>
      </c>
      <c r="G19" s="4" t="s">
        <v>80</v>
      </c>
      <c r="H19" s="21" t="s">
        <v>21</v>
      </c>
      <c r="I19" s="21" t="s">
        <v>13</v>
      </c>
      <c r="J19" s="13" t="e">
        <f t="shared" si="0"/>
        <v>#VALUE!</v>
      </c>
      <c r="K19" s="13" t="e">
        <f t="shared" si="1"/>
        <v>#VALUE!</v>
      </c>
      <c r="L19" s="43">
        <f>([2]TЕМ!$G$189+[2]TЕМ!$G$190)/1.12+17812403.24</f>
        <v>22440374.213214286</v>
      </c>
      <c r="M19" s="13" t="s">
        <v>90</v>
      </c>
      <c r="N19" s="13"/>
      <c r="O19" s="12">
        <f>SUM('[5]УКПГ-50'!$F$47:$O$47)</f>
        <v>20289712.711426664</v>
      </c>
      <c r="P19" s="12">
        <f>'[5]УКПГ-50'!S47</f>
        <v>22655655.253711991</v>
      </c>
      <c r="Q19" s="12">
        <f>'[5]УКПГ-50'!T47</f>
        <v>22655655.253711991</v>
      </c>
      <c r="R19" s="12">
        <f t="shared" si="2"/>
        <v>-2150661.5017876215</v>
      </c>
      <c r="S19" s="12" t="e">
        <f t="shared" si="3"/>
        <v>#VALUE!</v>
      </c>
      <c r="T19" s="12">
        <f t="shared" si="4"/>
        <v>22655655.253711991</v>
      </c>
    </row>
    <row r="20" spans="1:23" s="1" customFormat="1" ht="60" x14ac:dyDescent="0.25">
      <c r="A20" s="3">
        <v>10</v>
      </c>
      <c r="B20" s="3" t="s">
        <v>12</v>
      </c>
      <c r="C20" s="3" t="s">
        <v>53</v>
      </c>
      <c r="D20" s="3" t="s">
        <v>30</v>
      </c>
      <c r="E20" s="15" t="s">
        <v>20</v>
      </c>
      <c r="F20" s="7">
        <v>1</v>
      </c>
      <c r="G20" s="4" t="s">
        <v>80</v>
      </c>
      <c r="H20" s="21" t="s">
        <v>21</v>
      </c>
      <c r="I20" s="21" t="s">
        <v>13</v>
      </c>
      <c r="J20" s="13" t="e">
        <f t="shared" si="0"/>
        <v>#VALUE!</v>
      </c>
      <c r="K20" s="13" t="e">
        <f t="shared" si="1"/>
        <v>#VALUE!</v>
      </c>
      <c r="L20" s="43">
        <f>([2]TЕМ!$G$189+[2]TЕМ!$G$190)/1.12+12335868.72</f>
        <v>16963839.693214286</v>
      </c>
      <c r="M20" s="13" t="s">
        <v>90</v>
      </c>
      <c r="N20" s="13"/>
      <c r="O20" s="12">
        <f>SUM('[5]УПГ-29'!$F$47:$O$47)</f>
        <v>19570341.750954673</v>
      </c>
      <c r="P20" s="12">
        <f>'[5]УПГ-29'!S47</f>
        <v>22655656.10114561</v>
      </c>
      <c r="Q20" s="12">
        <f>'[5]УПГ-29'!T47</f>
        <v>22655656.10114561</v>
      </c>
      <c r="R20" s="12">
        <f t="shared" si="2"/>
        <v>2606502.0577403866</v>
      </c>
      <c r="S20" s="12" t="e">
        <f t="shared" si="3"/>
        <v>#VALUE!</v>
      </c>
      <c r="T20" s="12">
        <f t="shared" si="4"/>
        <v>22655656.10114561</v>
      </c>
    </row>
    <row r="21" spans="1:23" s="1" customFormat="1" ht="60" x14ac:dyDescent="0.25">
      <c r="A21" s="3">
        <v>11</v>
      </c>
      <c r="B21" s="3" t="s">
        <v>12</v>
      </c>
      <c r="C21" s="3" t="s">
        <v>54</v>
      </c>
      <c r="D21" s="3" t="s">
        <v>31</v>
      </c>
      <c r="E21" s="15" t="s">
        <v>20</v>
      </c>
      <c r="F21" s="7">
        <v>1</v>
      </c>
      <c r="G21" s="4" t="s">
        <v>80</v>
      </c>
      <c r="H21" s="21" t="s">
        <v>21</v>
      </c>
      <c r="I21" s="21" t="s">
        <v>13</v>
      </c>
      <c r="J21" s="13" t="e">
        <f t="shared" si="0"/>
        <v>#VALUE!</v>
      </c>
      <c r="K21" s="13" t="e">
        <f t="shared" si="1"/>
        <v>#VALUE!</v>
      </c>
      <c r="L21" s="43">
        <f>([2]TЕМ!$G$180+[2]TЕМ!$G$173)/1.12+150157000</f>
        <v>161205861</v>
      </c>
      <c r="M21" s="25" t="s">
        <v>84</v>
      </c>
      <c r="N21" s="25"/>
      <c r="O21" s="12">
        <f>SUM('[5]Нефть Всего'!$F$194:$O$194)</f>
        <v>110488610.30814813</v>
      </c>
      <c r="P21" s="12">
        <f>'[5]Нефть Всего'!$S$194</f>
        <v>132586332.36977777</v>
      </c>
      <c r="Q21" s="12">
        <f>'[5]Нефть Всего'!$T$194</f>
        <v>132586332.36977777</v>
      </c>
      <c r="R21" s="12">
        <f t="shared" si="2"/>
        <v>-50717250.691851869</v>
      </c>
      <c r="S21" s="12" t="e">
        <f t="shared" si="3"/>
        <v>#VALUE!</v>
      </c>
      <c r="T21" s="12">
        <f t="shared" si="4"/>
        <v>132586332.36977777</v>
      </c>
    </row>
    <row r="22" spans="1:23" s="1" customFormat="1" ht="60" x14ac:dyDescent="0.25">
      <c r="A22" s="3">
        <v>12</v>
      </c>
      <c r="B22" s="3" t="s">
        <v>12</v>
      </c>
      <c r="C22" s="3" t="s">
        <v>55</v>
      </c>
      <c r="D22" s="3" t="s">
        <v>32</v>
      </c>
      <c r="E22" s="15" t="s">
        <v>20</v>
      </c>
      <c r="F22" s="7">
        <v>1</v>
      </c>
      <c r="G22" s="4" t="s">
        <v>80</v>
      </c>
      <c r="H22" s="21" t="s">
        <v>21</v>
      </c>
      <c r="I22" s="21" t="s">
        <v>13</v>
      </c>
      <c r="J22" s="13" t="e">
        <f t="shared" si="0"/>
        <v>#VALUE!</v>
      </c>
      <c r="K22" s="13" t="e">
        <f t="shared" si="1"/>
        <v>#VALUE!</v>
      </c>
      <c r="L22" s="43">
        <f>([2]TЕМ!$G$191+[2]TЕМ!$G$192)/1.12+44806644/1.12+30402152.48/1.12</f>
        <v>77532496.303571418</v>
      </c>
      <c r="M22" s="25" t="s">
        <v>85</v>
      </c>
      <c r="N22" s="13"/>
      <c r="O22" s="12">
        <f>SUM('[5]Нефть Всего'!$F$198:$O$198)</f>
        <v>34605949.822533324</v>
      </c>
      <c r="P22" s="12">
        <f>'[5]Нефть Всего'!S198</f>
        <v>41527139.787040003</v>
      </c>
      <c r="Q22" s="12">
        <f>'[5]Нефть Всего'!T198</f>
        <v>41527139.787040003</v>
      </c>
      <c r="R22" s="12">
        <f t="shared" si="2"/>
        <v>-42926546.481038094</v>
      </c>
      <c r="S22" s="12" t="e">
        <f t="shared" si="3"/>
        <v>#VALUE!</v>
      </c>
      <c r="T22" s="12">
        <f t="shared" si="4"/>
        <v>41527139.787040003</v>
      </c>
    </row>
    <row r="23" spans="1:23" s="1" customFormat="1" ht="60" x14ac:dyDescent="0.25">
      <c r="A23" s="3">
        <v>13</v>
      </c>
      <c r="B23" s="3" t="s">
        <v>12</v>
      </c>
      <c r="C23" s="3" t="s">
        <v>55</v>
      </c>
      <c r="D23" s="3" t="s">
        <v>33</v>
      </c>
      <c r="E23" s="15" t="s">
        <v>20</v>
      </c>
      <c r="F23" s="7">
        <v>1</v>
      </c>
      <c r="G23" s="4" t="s">
        <v>80</v>
      </c>
      <c r="H23" s="21" t="s">
        <v>21</v>
      </c>
      <c r="I23" s="21" t="s">
        <v>13</v>
      </c>
      <c r="J23" s="13" t="e">
        <f t="shared" si="0"/>
        <v>#VALUE!</v>
      </c>
      <c r="K23" s="13" t="e">
        <f t="shared" si="1"/>
        <v>#VALUE!</v>
      </c>
      <c r="L23" s="43">
        <f>([2]TЕМ!$G$204+[2]TЕМ!$G$205+[1]TЕМ!$G$37)/1.12</f>
        <v>30482239.026785713</v>
      </c>
      <c r="M23" s="13" t="s">
        <v>85</v>
      </c>
      <c r="N23" s="13"/>
      <c r="O23" s="12">
        <f>SUM('[5]Нефть Всего'!$F$199:$O$199)</f>
        <v>25410198.478133339</v>
      </c>
      <c r="P23" s="12">
        <f>'[5]Нефть Всего'!S199</f>
        <v>30492234</v>
      </c>
      <c r="Q23" s="12">
        <f>'[5]Нефть Всего'!T199</f>
        <v>30492234</v>
      </c>
      <c r="R23" s="12">
        <f t="shared" si="2"/>
        <v>-5072040.5486523733</v>
      </c>
      <c r="S23" s="12" t="e">
        <f t="shared" si="3"/>
        <v>#VALUE!</v>
      </c>
      <c r="T23" s="12">
        <f t="shared" si="4"/>
        <v>30492234</v>
      </c>
    </row>
    <row r="24" spans="1:23" s="1" customFormat="1" ht="60" x14ac:dyDescent="0.25">
      <c r="A24" s="3">
        <v>14</v>
      </c>
      <c r="B24" s="3" t="s">
        <v>12</v>
      </c>
      <c r="C24" s="3" t="s">
        <v>56</v>
      </c>
      <c r="D24" s="3" t="s">
        <v>34</v>
      </c>
      <c r="E24" s="15" t="s">
        <v>20</v>
      </c>
      <c r="F24" s="7">
        <v>1</v>
      </c>
      <c r="G24" s="4" t="s">
        <v>80</v>
      </c>
      <c r="H24" s="21" t="s">
        <v>21</v>
      </c>
      <c r="I24" s="21" t="s">
        <v>13</v>
      </c>
      <c r="J24" s="13" t="e">
        <f t="shared" si="0"/>
        <v>#VALUE!</v>
      </c>
      <c r="K24" s="13" t="e">
        <f t="shared" si="1"/>
        <v>#VALUE!</v>
      </c>
      <c r="L24" s="43">
        <f>8702400/1.12</f>
        <v>7769999.9999999991</v>
      </c>
      <c r="M24" s="13" t="s">
        <v>86</v>
      </c>
      <c r="N24" s="13"/>
      <c r="O24" s="12">
        <f>SUM('[5]Нефть Всего'!$F$203:$O$203)</f>
        <v>6546671.7000000002</v>
      </c>
      <c r="P24" s="12">
        <f>SUM('[5]Нефть Всего'!S203)</f>
        <v>7856006.3600000003</v>
      </c>
      <c r="Q24" s="12">
        <f>SUM('[5]Нефть Всего'!T203)</f>
        <v>7856006.3600000003</v>
      </c>
      <c r="R24" s="12">
        <f t="shared" si="2"/>
        <v>-1223328.2999999989</v>
      </c>
      <c r="S24" s="12" t="e">
        <f t="shared" si="3"/>
        <v>#VALUE!</v>
      </c>
      <c r="T24" s="12">
        <f t="shared" si="4"/>
        <v>7856006.3600000003</v>
      </c>
    </row>
    <row r="25" spans="1:23" s="1" customFormat="1" ht="60" x14ac:dyDescent="0.25">
      <c r="A25" s="3">
        <v>15</v>
      </c>
      <c r="B25" s="3" t="s">
        <v>12</v>
      </c>
      <c r="C25" s="3" t="s">
        <v>78</v>
      </c>
      <c r="D25" s="3" t="s">
        <v>35</v>
      </c>
      <c r="E25" s="15" t="s">
        <v>20</v>
      </c>
      <c r="F25" s="7">
        <v>1</v>
      </c>
      <c r="G25" s="4" t="s">
        <v>80</v>
      </c>
      <c r="H25" s="21" t="s">
        <v>21</v>
      </c>
      <c r="I25" s="21" t="s">
        <v>13</v>
      </c>
      <c r="J25" s="13" t="e">
        <f t="shared" si="0"/>
        <v>#VALUE!</v>
      </c>
      <c r="K25" s="13" t="e">
        <f t="shared" si="1"/>
        <v>#VALUE!</v>
      </c>
      <c r="L25" s="43">
        <v>18705093</v>
      </c>
      <c r="M25" s="13" t="s">
        <v>86</v>
      </c>
      <c r="N25" s="13"/>
      <c r="O25" s="12">
        <f>SUM('[5]Нефть Всего'!$F$196:$O$196)</f>
        <v>18705092.632344</v>
      </c>
      <c r="P25" s="12">
        <f>'[5]Нефть Всего'!S196</f>
        <v>18705092.629999999</v>
      </c>
      <c r="Q25" s="12">
        <f>'[5]Нефть Всего'!T196</f>
        <v>18705092.629999999</v>
      </c>
      <c r="R25" s="12">
        <f t="shared" si="2"/>
        <v>-0.36765599995851517</v>
      </c>
      <c r="S25" s="12" t="e">
        <f t="shared" si="3"/>
        <v>#VALUE!</v>
      </c>
      <c r="T25" s="12">
        <f t="shared" si="4"/>
        <v>18705092.629999999</v>
      </c>
    </row>
    <row r="26" spans="1:23" s="1" customFormat="1" ht="60" x14ac:dyDescent="0.25">
      <c r="A26" s="3">
        <v>16</v>
      </c>
      <c r="B26" s="3" t="s">
        <v>12</v>
      </c>
      <c r="C26" s="3" t="s">
        <v>56</v>
      </c>
      <c r="D26" s="3" t="s">
        <v>79</v>
      </c>
      <c r="E26" s="38" t="s">
        <v>20</v>
      </c>
      <c r="F26" s="7">
        <v>1</v>
      </c>
      <c r="G26" s="40" t="s">
        <v>81</v>
      </c>
      <c r="H26" s="37" t="s">
        <v>21</v>
      </c>
      <c r="I26" s="37" t="s">
        <v>13</v>
      </c>
      <c r="J26" s="13">
        <v>317070941</v>
      </c>
      <c r="K26" s="13">
        <f t="shared" si="1"/>
        <v>355119453.92000002</v>
      </c>
      <c r="L26" s="43">
        <v>189652114</v>
      </c>
      <c r="M26" s="13">
        <v>127418827</v>
      </c>
      <c r="N26" s="39"/>
      <c r="O26" s="12"/>
      <c r="P26" s="12"/>
      <c r="Q26" s="12"/>
      <c r="R26" s="12"/>
      <c r="S26" s="12"/>
      <c r="T26" s="12"/>
    </row>
    <row r="27" spans="1:23" s="1" customFormat="1" ht="60" x14ac:dyDescent="0.25">
      <c r="A27" s="3">
        <v>17</v>
      </c>
      <c r="B27" s="3" t="s">
        <v>12</v>
      </c>
      <c r="C27" s="3" t="s">
        <v>75</v>
      </c>
      <c r="D27" s="3" t="s">
        <v>36</v>
      </c>
      <c r="E27" s="15" t="s">
        <v>20</v>
      </c>
      <c r="F27" s="7">
        <v>1</v>
      </c>
      <c r="G27" s="4" t="s">
        <v>80</v>
      </c>
      <c r="H27" s="21" t="s">
        <v>21</v>
      </c>
      <c r="I27" s="21" t="s">
        <v>13</v>
      </c>
      <c r="J27" s="13" t="e">
        <f t="shared" si="0"/>
        <v>#VALUE!</v>
      </c>
      <c r="K27" s="13" t="e">
        <f t="shared" si="1"/>
        <v>#VALUE!</v>
      </c>
      <c r="L27" s="43">
        <f>[6]Лист1!$B$16</f>
        <v>114874201.65402716</v>
      </c>
      <c r="M27" s="13" t="s">
        <v>92</v>
      </c>
      <c r="N27" s="13"/>
      <c r="O27" s="12">
        <f>SUM([5]Алибек!$F$256:$O$256)</f>
        <v>95728501.37835598</v>
      </c>
      <c r="P27" s="12">
        <f>[5]Алибек!S256</f>
        <v>114874200</v>
      </c>
      <c r="Q27" s="12">
        <f>[5]Алибек!T256</f>
        <v>114874200</v>
      </c>
      <c r="R27" s="12">
        <f t="shared" si="2"/>
        <v>-19145700.275671184</v>
      </c>
      <c r="S27" s="12" t="e">
        <f t="shared" si="3"/>
        <v>#VALUE!</v>
      </c>
      <c r="T27" s="12">
        <f t="shared" si="4"/>
        <v>114874200</v>
      </c>
    </row>
    <row r="28" spans="1:23" s="1" customFormat="1" ht="60" x14ac:dyDescent="0.25">
      <c r="A28" s="3">
        <v>18</v>
      </c>
      <c r="B28" s="3" t="s">
        <v>12</v>
      </c>
      <c r="C28" s="3" t="s">
        <v>75</v>
      </c>
      <c r="D28" s="3" t="s">
        <v>37</v>
      </c>
      <c r="E28" s="15" t="s">
        <v>20</v>
      </c>
      <c r="F28" s="7">
        <v>1</v>
      </c>
      <c r="G28" s="4" t="s">
        <v>80</v>
      </c>
      <c r="H28" s="21" t="s">
        <v>21</v>
      </c>
      <c r="I28" s="21" t="s">
        <v>13</v>
      </c>
      <c r="J28" s="13" t="e">
        <f t="shared" si="0"/>
        <v>#VALUE!</v>
      </c>
      <c r="K28" s="13" t="e">
        <f t="shared" si="1"/>
        <v>#VALUE!</v>
      </c>
      <c r="L28" s="43">
        <f>[6]Лист1!$B$19</f>
        <v>34786049.829776593</v>
      </c>
      <c r="M28" s="13" t="s">
        <v>92</v>
      </c>
      <c r="N28" s="13"/>
      <c r="O28" s="12">
        <f>SUM([5]Кожасай!$F$241:$O$241)</f>
        <v>28988374.858147159</v>
      </c>
      <c r="P28" s="12">
        <f>[5]Кожасай!$S$241</f>
        <v>34786049.829776593</v>
      </c>
      <c r="Q28" s="12">
        <f>[5]Кожасай!$T$241</f>
        <v>34786049.829776593</v>
      </c>
      <c r="R28" s="12">
        <f t="shared" si="2"/>
        <v>-5797674.9716294333</v>
      </c>
      <c r="S28" s="12" t="e">
        <f t="shared" si="3"/>
        <v>#VALUE!</v>
      </c>
      <c r="T28" s="12">
        <f t="shared" si="4"/>
        <v>34786049.829776593</v>
      </c>
    </row>
    <row r="29" spans="1:23" s="1" customFormat="1" ht="60" x14ac:dyDescent="0.25">
      <c r="A29" s="3">
        <v>19</v>
      </c>
      <c r="B29" s="3" t="s">
        <v>12</v>
      </c>
      <c r="C29" s="3" t="s">
        <v>77</v>
      </c>
      <c r="D29" s="3" t="s">
        <v>38</v>
      </c>
      <c r="E29" s="15" t="s">
        <v>20</v>
      </c>
      <c r="F29" s="7">
        <v>1</v>
      </c>
      <c r="G29" s="4" t="s">
        <v>80</v>
      </c>
      <c r="H29" s="21" t="s">
        <v>21</v>
      </c>
      <c r="I29" s="21" t="s">
        <v>13</v>
      </c>
      <c r="J29" s="13" t="e">
        <f t="shared" si="0"/>
        <v>#VALUE!</v>
      </c>
      <c r="K29" s="13" t="e">
        <f t="shared" si="1"/>
        <v>#VALUE!</v>
      </c>
      <c r="L29" s="43">
        <f>[6]Лист1!$B$17+[6]Лист1!$B$20</f>
        <v>17850376</v>
      </c>
      <c r="M29" s="13" t="s">
        <v>92</v>
      </c>
      <c r="N29" s="13"/>
      <c r="O29" s="12">
        <f>SUM('[5]Нефть Всего'!$F$260:$O$260)</f>
        <v>17850376</v>
      </c>
      <c r="P29" s="12">
        <f>'[5]Нефть Всего'!S260</f>
        <v>17850376</v>
      </c>
      <c r="Q29" s="12">
        <f>'[5]Нефть Всего'!T260</f>
        <v>17850376</v>
      </c>
      <c r="R29" s="12">
        <f t="shared" si="2"/>
        <v>0</v>
      </c>
      <c r="S29" s="12" t="e">
        <f t="shared" si="3"/>
        <v>#VALUE!</v>
      </c>
      <c r="T29" s="12">
        <f t="shared" si="4"/>
        <v>17850376</v>
      </c>
    </row>
    <row r="30" spans="1:23" s="1" customFormat="1" ht="60" x14ac:dyDescent="0.25">
      <c r="A30" s="3">
        <v>20</v>
      </c>
      <c r="B30" s="3" t="s">
        <v>12</v>
      </c>
      <c r="C30" s="3" t="s">
        <v>74</v>
      </c>
      <c r="D30" s="3" t="s">
        <v>39</v>
      </c>
      <c r="E30" s="15" t="s">
        <v>20</v>
      </c>
      <c r="F30" s="7">
        <v>1</v>
      </c>
      <c r="G30" s="4" t="s">
        <v>80</v>
      </c>
      <c r="H30" s="21" t="s">
        <v>21</v>
      </c>
      <c r="I30" s="21" t="s">
        <v>13</v>
      </c>
      <c r="J30" s="13" t="e">
        <f t="shared" si="0"/>
        <v>#VALUE!</v>
      </c>
      <c r="K30" s="13" t="e">
        <f t="shared" si="1"/>
        <v>#VALUE!</v>
      </c>
      <c r="L30" s="43">
        <f>[6]Лист1!$B$7</f>
        <v>65042179.946735553</v>
      </c>
      <c r="M30" s="13" t="s">
        <v>92</v>
      </c>
      <c r="N30" s="13"/>
      <c r="O30" s="12">
        <f>SUM('[5]УКПГ-50'!$F$52:$O$52)</f>
        <v>55660117.5</v>
      </c>
      <c r="P30" s="12">
        <f>'[5]УКПГ-50'!S52</f>
        <v>66792141</v>
      </c>
      <c r="Q30" s="12">
        <f>'[5]УКПГ-50'!T52</f>
        <v>66792141</v>
      </c>
      <c r="R30" s="12">
        <f t="shared" si="2"/>
        <v>-9382062.4467355534</v>
      </c>
      <c r="S30" s="12" t="e">
        <f t="shared" si="3"/>
        <v>#VALUE!</v>
      </c>
      <c r="T30" s="12">
        <f t="shared" si="4"/>
        <v>66792141</v>
      </c>
    </row>
    <row r="31" spans="1:23" s="1" customFormat="1" ht="60" x14ac:dyDescent="0.25">
      <c r="A31" s="3">
        <v>21</v>
      </c>
      <c r="B31" s="3" t="s">
        <v>12</v>
      </c>
      <c r="C31" s="3" t="s">
        <v>74</v>
      </c>
      <c r="D31" s="3" t="s">
        <v>40</v>
      </c>
      <c r="E31" s="15" t="s">
        <v>20</v>
      </c>
      <c r="F31" s="7">
        <v>1</v>
      </c>
      <c r="G31" s="4" t="s">
        <v>80</v>
      </c>
      <c r="H31" s="21" t="s">
        <v>21</v>
      </c>
      <c r="I31" s="21" t="s">
        <v>13</v>
      </c>
      <c r="J31" s="13" t="e">
        <f t="shared" si="0"/>
        <v>#VALUE!</v>
      </c>
      <c r="K31" s="13" t="e">
        <f t="shared" si="1"/>
        <v>#VALUE!</v>
      </c>
      <c r="L31" s="43">
        <f>[6]Лист1!$B$12</f>
        <v>27018145.856835879</v>
      </c>
      <c r="M31" s="13" t="s">
        <v>92</v>
      </c>
      <c r="N31" s="13"/>
      <c r="O31" s="12">
        <f>SUM('[5]УПГ-29'!$F$52:$O$52)</f>
        <v>23023921.499999996</v>
      </c>
      <c r="P31" s="12">
        <f>'[5]УПГ-29'!S52</f>
        <v>27628705.799999993</v>
      </c>
      <c r="Q31" s="12">
        <f>'[5]УПГ-29'!T52</f>
        <v>27628705.799999993</v>
      </c>
      <c r="R31" s="12">
        <f t="shared" si="2"/>
        <v>-3994224.3568358831</v>
      </c>
      <c r="S31" s="12" t="e">
        <f t="shared" si="3"/>
        <v>#VALUE!</v>
      </c>
      <c r="T31" s="12">
        <f t="shared" si="4"/>
        <v>27628705.799999993</v>
      </c>
    </row>
    <row r="32" spans="1:23" s="1" customFormat="1" ht="60" x14ac:dyDescent="0.25">
      <c r="A32" s="3">
        <v>22</v>
      </c>
      <c r="B32" s="3" t="s">
        <v>12</v>
      </c>
      <c r="C32" s="3" t="s">
        <v>75</v>
      </c>
      <c r="D32" s="3" t="s">
        <v>41</v>
      </c>
      <c r="E32" s="15" t="s">
        <v>20</v>
      </c>
      <c r="F32" s="7">
        <v>1</v>
      </c>
      <c r="G32" s="4" t="s">
        <v>80</v>
      </c>
      <c r="H32" s="21" t="s">
        <v>21</v>
      </c>
      <c r="I32" s="21" t="s">
        <v>13</v>
      </c>
      <c r="J32" s="13" t="e">
        <f t="shared" si="0"/>
        <v>#VALUE!</v>
      </c>
      <c r="K32" s="13" t="e">
        <f t="shared" si="1"/>
        <v>#VALUE!</v>
      </c>
      <c r="L32" s="43">
        <f>[6]Лист1!$B$6</f>
        <v>35998538.399999991</v>
      </c>
      <c r="M32" s="13" t="s">
        <v>92</v>
      </c>
      <c r="N32" s="13"/>
      <c r="O32" s="12">
        <f>SUM('[5]УКПГ-50'!$F$51:$O$51)</f>
        <v>33598635.75</v>
      </c>
      <c r="P32" s="12">
        <f>'[5]УКПГ-50'!S51</f>
        <v>40318362.900000006</v>
      </c>
      <c r="Q32" s="12">
        <f>'[5]УКПГ-50'!T51</f>
        <v>40318362.900000006</v>
      </c>
      <c r="R32" s="12">
        <f t="shared" si="2"/>
        <v>-2399902.6499999911</v>
      </c>
      <c r="S32" s="12" t="e">
        <f t="shared" si="3"/>
        <v>#VALUE!</v>
      </c>
      <c r="T32" s="12">
        <f t="shared" si="4"/>
        <v>40318362.900000006</v>
      </c>
    </row>
    <row r="33" spans="1:20" s="1" customFormat="1" ht="60" x14ac:dyDescent="0.25">
      <c r="A33" s="3">
        <v>23</v>
      </c>
      <c r="B33" s="3" t="s">
        <v>12</v>
      </c>
      <c r="C33" s="3" t="s">
        <v>75</v>
      </c>
      <c r="D33" s="3" t="s">
        <v>42</v>
      </c>
      <c r="E33" s="15" t="s">
        <v>20</v>
      </c>
      <c r="F33" s="7">
        <v>1</v>
      </c>
      <c r="G33" s="4" t="s">
        <v>80</v>
      </c>
      <c r="H33" s="21" t="s">
        <v>21</v>
      </c>
      <c r="I33" s="21" t="s">
        <v>13</v>
      </c>
      <c r="J33" s="13" t="e">
        <f t="shared" si="0"/>
        <v>#VALUE!</v>
      </c>
      <c r="K33" s="13" t="e">
        <f t="shared" si="1"/>
        <v>#VALUE!</v>
      </c>
      <c r="L33" s="43">
        <f>[6]Лист1!$B$11</f>
        <v>21867839.999999996</v>
      </c>
      <c r="M33" s="13" t="s">
        <v>92</v>
      </c>
      <c r="N33" s="13"/>
      <c r="O33" s="12">
        <f>SUM('[5]УПГ-29'!$F$51:$O$51)</f>
        <v>18223200</v>
      </c>
      <c r="P33" s="12">
        <f>'[5]УПГ-29'!S51</f>
        <v>21867840</v>
      </c>
      <c r="Q33" s="12">
        <f>'[5]УПГ-29'!T51</f>
        <v>21867840</v>
      </c>
      <c r="R33" s="12">
        <f t="shared" si="2"/>
        <v>-3644639.9999999963</v>
      </c>
      <c r="S33" s="12" t="e">
        <f t="shared" si="3"/>
        <v>#VALUE!</v>
      </c>
      <c r="T33" s="12">
        <f t="shared" si="4"/>
        <v>21867840</v>
      </c>
    </row>
    <row r="34" spans="1:20" s="1" customFormat="1" ht="60" x14ac:dyDescent="0.25">
      <c r="A34" s="3">
        <v>24</v>
      </c>
      <c r="B34" s="3" t="s">
        <v>12</v>
      </c>
      <c r="C34" s="3" t="s">
        <v>76</v>
      </c>
      <c r="D34" s="3" t="s">
        <v>43</v>
      </c>
      <c r="E34" s="15" t="s">
        <v>20</v>
      </c>
      <c r="F34" s="7">
        <v>1</v>
      </c>
      <c r="G34" s="4" t="s">
        <v>80</v>
      </c>
      <c r="H34" s="21" t="s">
        <v>21</v>
      </c>
      <c r="I34" s="21" t="s">
        <v>13</v>
      </c>
      <c r="J34" s="13" t="e">
        <f t="shared" si="0"/>
        <v>#VALUE!</v>
      </c>
      <c r="K34" s="13" t="e">
        <f t="shared" si="1"/>
        <v>#VALUE!</v>
      </c>
      <c r="L34" s="43">
        <f>9611030/1.12+25785813</f>
        <v>34367089.785714284</v>
      </c>
      <c r="M34" s="13" t="s">
        <v>93</v>
      </c>
      <c r="N34" s="13"/>
      <c r="O34" s="12">
        <f>SUM('[5]УКПГ-50'!$F$53:$O$53)</f>
        <v>22439848.500000004</v>
      </c>
      <c r="P34" s="12">
        <f>'[5]УКПГ-50'!S53</f>
        <v>26927818.200000007</v>
      </c>
      <c r="Q34" s="12">
        <f>'[5]УКПГ-50'!T53</f>
        <v>26927818.200000007</v>
      </c>
      <c r="R34" s="12">
        <f t="shared" si="2"/>
        <v>-11927241.28571428</v>
      </c>
      <c r="S34" s="12" t="e">
        <f t="shared" si="3"/>
        <v>#VALUE!</v>
      </c>
      <c r="T34" s="12">
        <f t="shared" si="4"/>
        <v>26927818.200000007</v>
      </c>
    </row>
    <row r="35" spans="1:20" s="1" customFormat="1" ht="60" x14ac:dyDescent="0.25">
      <c r="A35" s="3">
        <v>25</v>
      </c>
      <c r="B35" s="3" t="s">
        <v>12</v>
      </c>
      <c r="C35" s="3" t="s">
        <v>76</v>
      </c>
      <c r="D35" s="3" t="s">
        <v>44</v>
      </c>
      <c r="E35" s="15" t="s">
        <v>20</v>
      </c>
      <c r="F35" s="7">
        <v>1</v>
      </c>
      <c r="G35" s="4" t="s">
        <v>80</v>
      </c>
      <c r="H35" s="21" t="s">
        <v>21</v>
      </c>
      <c r="I35" s="21" t="s">
        <v>13</v>
      </c>
      <c r="J35" s="13" t="e">
        <f t="shared" si="0"/>
        <v>#VALUE!</v>
      </c>
      <c r="K35" s="13" t="e">
        <f t="shared" si="1"/>
        <v>#VALUE!</v>
      </c>
      <c r="L35" s="43">
        <f>[6]Лист1!$B$13</f>
        <v>7132666.614285714</v>
      </c>
      <c r="M35" s="13" t="s">
        <v>87</v>
      </c>
      <c r="N35" s="13"/>
      <c r="O35" s="12">
        <f>SUM('[5]УПГ-29'!$F$53:$O$53)</f>
        <v>7479949.5000000009</v>
      </c>
      <c r="P35" s="12">
        <f>'[5]УПГ-29'!S53</f>
        <v>8975939.4000000004</v>
      </c>
      <c r="Q35" s="12">
        <f>'[5]УПГ-29'!T53</f>
        <v>8975939.4000000004</v>
      </c>
      <c r="R35" s="12">
        <f t="shared" si="2"/>
        <v>347282.88571428694</v>
      </c>
      <c r="S35" s="12" t="e">
        <f t="shared" si="3"/>
        <v>#VALUE!</v>
      </c>
      <c r="T35" s="12">
        <f t="shared" si="4"/>
        <v>8975939.4000000004</v>
      </c>
    </row>
    <row r="36" spans="1:20" s="1" customFormat="1" ht="60" x14ac:dyDescent="0.25">
      <c r="A36" s="3">
        <v>26</v>
      </c>
      <c r="B36" s="3" t="s">
        <v>12</v>
      </c>
      <c r="C36" s="3" t="s">
        <v>57</v>
      </c>
      <c r="D36" s="3" t="s">
        <v>45</v>
      </c>
      <c r="E36" s="15" t="s">
        <v>20</v>
      </c>
      <c r="F36" s="7">
        <v>1</v>
      </c>
      <c r="G36" s="4" t="s">
        <v>80</v>
      </c>
      <c r="H36" s="21" t="s">
        <v>21</v>
      </c>
      <c r="I36" s="21" t="s">
        <v>13</v>
      </c>
      <c r="J36" s="13" t="e">
        <f t="shared" si="0"/>
        <v>#VALUE!</v>
      </c>
      <c r="K36" s="13" t="e">
        <f t="shared" si="1"/>
        <v>#VALUE!</v>
      </c>
      <c r="L36" s="43">
        <f>[2]GHS!$G$41+[2]GHS!$G$42+[1]GHS!$G$18</f>
        <v>32552923.359999999</v>
      </c>
      <c r="M36" s="13" t="s">
        <v>88</v>
      </c>
      <c r="N36" s="13"/>
      <c r="O36" s="12">
        <f>SUM([5]Адм!$F$254:$O$254,'[5]Нефть Всего'!$F$78:$O$78)</f>
        <v>27482689</v>
      </c>
      <c r="P36" s="12">
        <f>SUM('[5]Нефть Всего'!S78,[5]Адм!S254)</f>
        <v>32979227</v>
      </c>
      <c r="Q36" s="12">
        <f>SUM('[5]Нефть Всего'!T78,[5]Адм!T254)</f>
        <v>32979227</v>
      </c>
      <c r="R36" s="12">
        <f t="shared" si="2"/>
        <v>-5070234.3599999994</v>
      </c>
      <c r="S36" s="12" t="e">
        <f t="shared" si="3"/>
        <v>#VALUE!</v>
      </c>
      <c r="T36" s="12">
        <f t="shared" si="4"/>
        <v>32979227</v>
      </c>
    </row>
    <row r="37" spans="1:20" s="1" customFormat="1" ht="60" x14ac:dyDescent="0.25">
      <c r="A37" s="3">
        <v>27</v>
      </c>
      <c r="B37" s="3" t="s">
        <v>12</v>
      </c>
      <c r="C37" s="3" t="s">
        <v>58</v>
      </c>
      <c r="D37" s="3" t="s">
        <v>46</v>
      </c>
      <c r="E37" s="15" t="s">
        <v>20</v>
      </c>
      <c r="F37" s="7">
        <v>1</v>
      </c>
      <c r="G37" s="4" t="s">
        <v>80</v>
      </c>
      <c r="H37" s="21" t="s">
        <v>21</v>
      </c>
      <c r="I37" s="21" t="s">
        <v>13</v>
      </c>
      <c r="J37" s="13">
        <f t="shared" si="0"/>
        <v>180288991.12499997</v>
      </c>
      <c r="K37" s="13">
        <f t="shared" si="1"/>
        <v>201923670.05999997</v>
      </c>
      <c r="L37" s="43">
        <f>([2]GHS!$G$39+[2]GHS!$G$40)/1.12+175682640.04/1.12</f>
        <v>180288991.12499997</v>
      </c>
      <c r="M37" s="13"/>
      <c r="N37" s="13"/>
      <c r="O37" s="12">
        <f>SUM('[5]Нефть Всего'!$F$83:$O$83,'[5]всего ОРЕХ газ'!$F$65:$O$65)</f>
        <v>80992410</v>
      </c>
      <c r="P37" s="12">
        <f>'[5]Нефть Всего'!S83+'[5]всего ОРЕХ газ'!S65</f>
        <v>97190892</v>
      </c>
      <c r="Q37" s="12">
        <f>'[5]Нефть Всего'!T83+'[5]всего ОРЕХ газ'!T65</f>
        <v>97190892</v>
      </c>
      <c r="R37" s="12">
        <f t="shared" si="2"/>
        <v>-99296581.12499997</v>
      </c>
      <c r="S37" s="12">
        <f t="shared" si="3"/>
        <v>97190892</v>
      </c>
      <c r="T37" s="12">
        <f t="shared" si="4"/>
        <v>97190892</v>
      </c>
    </row>
    <row r="38" spans="1:20" s="1" customFormat="1" ht="60" x14ac:dyDescent="0.25">
      <c r="A38" s="3">
        <v>28</v>
      </c>
      <c r="B38" s="3" t="s">
        <v>12</v>
      </c>
      <c r="C38" s="3" t="s">
        <v>59</v>
      </c>
      <c r="D38" s="3" t="s">
        <v>47</v>
      </c>
      <c r="E38" s="15" t="s">
        <v>20</v>
      </c>
      <c r="F38" s="7">
        <v>1</v>
      </c>
      <c r="G38" s="4" t="s">
        <v>80</v>
      </c>
      <c r="H38" s="21" t="s">
        <v>21</v>
      </c>
      <c r="I38" s="21" t="s">
        <v>13</v>
      </c>
      <c r="J38" s="13">
        <f t="shared" si="0"/>
        <v>209145999.85714284</v>
      </c>
      <c r="K38" s="13">
        <f t="shared" si="1"/>
        <v>234243519.84</v>
      </c>
      <c r="L38" s="43">
        <f>234243519.84/1.12</f>
        <v>209145999.85714284</v>
      </c>
      <c r="M38" s="13"/>
      <c r="N38" s="13"/>
      <c r="O38" s="12">
        <f>SUM('[5]всего ОРЕХ газ'!$F$64:$O$64,'[5]Нефть Всего'!$F$81:$O$81)</f>
        <v>174290589</v>
      </c>
      <c r="P38" s="12">
        <f>'[5]всего ОРЕХ газ'!S64+'[5]Нефть Всего'!S81</f>
        <v>209148705</v>
      </c>
      <c r="Q38" s="12">
        <f>'[5]всего ОРЕХ газ'!T64+'[5]Нефть Всего'!T81</f>
        <v>209148705</v>
      </c>
      <c r="R38" s="12">
        <f t="shared" si="2"/>
        <v>-34855410.857142836</v>
      </c>
      <c r="S38" s="12">
        <f t="shared" si="3"/>
        <v>209148705</v>
      </c>
      <c r="T38" s="12">
        <f t="shared" si="4"/>
        <v>209148705</v>
      </c>
    </row>
    <row r="39" spans="1:20" s="1" customFormat="1" ht="75" x14ac:dyDescent="0.25">
      <c r="A39" s="3">
        <v>29</v>
      </c>
      <c r="B39" s="3" t="s">
        <v>12</v>
      </c>
      <c r="C39" s="3" t="s">
        <v>60</v>
      </c>
      <c r="D39" s="3" t="s">
        <v>69</v>
      </c>
      <c r="E39" s="15" t="s">
        <v>20</v>
      </c>
      <c r="F39" s="7">
        <v>1</v>
      </c>
      <c r="G39" s="4" t="s">
        <v>80</v>
      </c>
      <c r="H39" s="21" t="s">
        <v>22</v>
      </c>
      <c r="I39" s="21" t="s">
        <v>13</v>
      </c>
      <c r="J39" s="13" t="e">
        <f t="shared" si="0"/>
        <v>#VALUE!</v>
      </c>
      <c r="K39" s="13" t="e">
        <f t="shared" si="1"/>
        <v>#VALUE!</v>
      </c>
      <c r="L39" s="44">
        <f>74018648/1.12+134885957.2</f>
        <v>200974035.77142856</v>
      </c>
      <c r="M39" s="13" t="s">
        <v>89</v>
      </c>
      <c r="N39" s="41" t="s">
        <v>91</v>
      </c>
      <c r="O39" s="12">
        <f>SUM('[5]Нефть Всего'!$F$108:$O$108)+SUM('[5]всего ОРЕХ газ'!$F$67:$O$67)+SUM([5]Адм!$F$275:$O$275)</f>
        <v>168027471.04918033</v>
      </c>
      <c r="P39" s="12">
        <f>'[5]Нефть Всего'!$S$108+'[5]всего ОРЕХ газ'!$S$67+[5]Адм!$S$275</f>
        <v>200974034</v>
      </c>
      <c r="Q39" s="12">
        <f>'[5]Нефть Всего'!$T$108+'[5]всего ОРЕХ газ'!$T$67+[5]Адм!$T$275</f>
        <v>200974034</v>
      </c>
      <c r="R39" s="12">
        <f t="shared" si="2"/>
        <v>-32946564.722248226</v>
      </c>
      <c r="S39" s="12" t="e">
        <f t="shared" si="3"/>
        <v>#VALUE!</v>
      </c>
      <c r="T39" s="12" t="e">
        <f t="shared" si="4"/>
        <v>#VALUE!</v>
      </c>
    </row>
    <row r="40" spans="1:20" s="1" customFormat="1" ht="75" x14ac:dyDescent="0.25">
      <c r="A40" s="3">
        <v>30</v>
      </c>
      <c r="B40" s="3" t="s">
        <v>12</v>
      </c>
      <c r="C40" s="3" t="s">
        <v>61</v>
      </c>
      <c r="D40" s="3" t="s">
        <v>64</v>
      </c>
      <c r="E40" s="15" t="s">
        <v>20</v>
      </c>
      <c r="F40" s="7">
        <v>1</v>
      </c>
      <c r="G40" s="4" t="s">
        <v>80</v>
      </c>
      <c r="H40" s="21" t="s">
        <v>22</v>
      </c>
      <c r="I40" s="21" t="s">
        <v>13</v>
      </c>
      <c r="J40" s="13" t="e">
        <f t="shared" si="0"/>
        <v>#VALUE!</v>
      </c>
      <c r="K40" s="13" t="e">
        <f t="shared" si="1"/>
        <v>#VALUE!</v>
      </c>
      <c r="L40" s="44">
        <f>70067684/1.12+125526400</f>
        <v>188086832.14285713</v>
      </c>
      <c r="M40" s="13" t="s">
        <v>89</v>
      </c>
      <c r="N40" s="15" t="s">
        <v>91</v>
      </c>
      <c r="O40" s="12">
        <f>SUM('[7]Питание(1)'!$G$10:$G$19,'[7]Питание(1)'!$G$28:$G$37,'[7]Питание(1)'!$G$47:$G$56,'[7]Питание(1)'!$G$64:$G$73,'[7]Питание(1)'!$G$81:$G$90,'[7]Питание(1)'!$G$97:$G$98)</f>
        <v>154888000</v>
      </c>
      <c r="P40" s="12">
        <f>'[7]Питание(1)'!$J$112</f>
        <v>185865600</v>
      </c>
      <c r="Q40" s="12">
        <f>'[7]Питание(1)'!$P$112</f>
        <v>185865600</v>
      </c>
      <c r="R40" s="12">
        <f t="shared" si="2"/>
        <v>-33198832.142857134</v>
      </c>
      <c r="S40" s="12" t="e">
        <f t="shared" si="3"/>
        <v>#VALUE!</v>
      </c>
      <c r="T40" s="12" t="e">
        <f t="shared" si="4"/>
        <v>#VALUE!</v>
      </c>
    </row>
    <row r="41" spans="1:20" s="1" customFormat="1" ht="75" x14ac:dyDescent="0.25">
      <c r="A41" s="3">
        <v>31</v>
      </c>
      <c r="B41" s="3" t="s">
        <v>12</v>
      </c>
      <c r="C41" s="3" t="s">
        <v>62</v>
      </c>
      <c r="D41" s="3" t="s">
        <v>65</v>
      </c>
      <c r="E41" s="15" t="s">
        <v>20</v>
      </c>
      <c r="F41" s="7">
        <v>1</v>
      </c>
      <c r="G41" s="4" t="s">
        <v>80</v>
      </c>
      <c r="H41" s="21" t="s">
        <v>22</v>
      </c>
      <c r="I41" s="21" t="s">
        <v>13</v>
      </c>
      <c r="J41" s="13" t="e">
        <f t="shared" si="0"/>
        <v>#VALUE!</v>
      </c>
      <c r="K41" s="13" t="e">
        <f t="shared" si="1"/>
        <v>#VALUE!</v>
      </c>
      <c r="L41" s="44">
        <f>8563002/1.12+15290707</f>
        <v>22936244.5</v>
      </c>
      <c r="M41" s="13" t="s">
        <v>89</v>
      </c>
      <c r="N41" s="41" t="s">
        <v>91</v>
      </c>
      <c r="O41" s="12">
        <f>SUM([7]уборка!$F$10:$F$19,[7]уборка!$F$28:$F$37,[7]уборка!$F$47:$F$56,[7]уборка!$F$64:$F$73,[7]уборка!$F$81:$F$90,[7]уборка!$F$97:$F$98)</f>
        <v>19114000</v>
      </c>
      <c r="P41" s="12">
        <f>[7]уборка!$J$105</f>
        <v>22936800</v>
      </c>
      <c r="Q41" s="12">
        <f>[7]уборка!$Q$105</f>
        <v>22936800</v>
      </c>
      <c r="R41" s="12">
        <f t="shared" si="2"/>
        <v>-3822244.5</v>
      </c>
      <c r="S41" s="12" t="e">
        <f t="shared" si="3"/>
        <v>#VALUE!</v>
      </c>
      <c r="T41" s="12" t="e">
        <f t="shared" si="4"/>
        <v>#VALUE!</v>
      </c>
    </row>
    <row r="42" spans="1:20" s="1" customFormat="1" ht="75" x14ac:dyDescent="0.25">
      <c r="A42" s="3">
        <v>32</v>
      </c>
      <c r="B42" s="3" t="s">
        <v>12</v>
      </c>
      <c r="C42" s="3" t="s">
        <v>63</v>
      </c>
      <c r="D42" s="3" t="s">
        <v>66</v>
      </c>
      <c r="E42" s="15" t="s">
        <v>20</v>
      </c>
      <c r="F42" s="7">
        <v>1</v>
      </c>
      <c r="G42" s="4" t="s">
        <v>80</v>
      </c>
      <c r="H42" s="21" t="s">
        <v>22</v>
      </c>
      <c r="I42" s="21" t="s">
        <v>13</v>
      </c>
      <c r="J42" s="13" t="e">
        <f t="shared" si="0"/>
        <v>#VALUE!</v>
      </c>
      <c r="K42" s="13" t="e">
        <f t="shared" si="1"/>
        <v>#VALUE!</v>
      </c>
      <c r="L42" s="44">
        <f>5453324/1.12+9738080</f>
        <v>14607119.285714285</v>
      </c>
      <c r="M42" s="13" t="s">
        <v>89</v>
      </c>
      <c r="N42" s="41" t="s">
        <v>91</v>
      </c>
      <c r="O42" s="12">
        <f>SUM([7]стирка!$F$10:$F$19,[7]стирка!$F$28:$F$37,[7]стирка!$F$47:$F$56,[7]стирка!$F$64:$F$73,[7]стирка!$F$81:$F$90,[7]стирка!$F$97:$F$98)</f>
        <v>12172600</v>
      </c>
      <c r="P42" s="12">
        <f>[7]стирка!$I$108</f>
        <v>14607120</v>
      </c>
      <c r="Q42" s="12">
        <f>[7]стирка!$O$108</f>
        <v>14607120</v>
      </c>
      <c r="R42" s="12">
        <f t="shared" si="2"/>
        <v>-2434519.2857142854</v>
      </c>
      <c r="S42" s="12" t="e">
        <f t="shared" si="3"/>
        <v>#VALUE!</v>
      </c>
      <c r="T42" s="12" t="e">
        <f t="shared" si="4"/>
        <v>#VALUE!</v>
      </c>
    </row>
    <row r="43" spans="1:20" s="1" customFormat="1" x14ac:dyDescent="0.25">
      <c r="A43" s="8"/>
      <c r="B43" s="8"/>
      <c r="C43" s="8"/>
      <c r="D43" s="14"/>
      <c r="E43" s="6"/>
      <c r="F43" s="9"/>
      <c r="G43" s="5"/>
      <c r="H43" s="22"/>
      <c r="I43" s="23"/>
      <c r="J43" s="10"/>
      <c r="K43" s="10"/>
      <c r="L43" s="10"/>
      <c r="M43" s="10"/>
      <c r="N43" s="10"/>
    </row>
    <row r="44" spans="1:20" s="1" customFormat="1" ht="15" x14ac:dyDescent="0.25">
      <c r="A44" s="8"/>
      <c r="B44" s="8"/>
      <c r="C44" s="8"/>
      <c r="D44" s="8"/>
      <c r="E44" s="6"/>
      <c r="F44" s="9"/>
      <c r="G44" s="5"/>
      <c r="H44" s="22"/>
      <c r="I44" s="23"/>
      <c r="J44" s="10"/>
      <c r="K44" s="10"/>
      <c r="L44" s="10"/>
      <c r="M44" s="10"/>
      <c r="N44" s="10"/>
    </row>
    <row r="45" spans="1:20" s="1" customFormat="1" ht="15" x14ac:dyDescent="0.25">
      <c r="A45" s="8"/>
      <c r="B45" s="8"/>
      <c r="C45" s="8"/>
      <c r="D45" s="8"/>
      <c r="E45" s="6"/>
      <c r="F45" s="9"/>
      <c r="G45" s="5"/>
      <c r="H45" s="22"/>
      <c r="I45" s="23"/>
      <c r="J45" s="10"/>
      <c r="K45" s="10"/>
      <c r="L45" s="10"/>
      <c r="M45" s="10"/>
      <c r="N45" s="10"/>
    </row>
    <row r="46" spans="1:20" s="1" customFormat="1" ht="15" x14ac:dyDescent="0.25">
      <c r="E46" s="17"/>
      <c r="G46" s="17"/>
      <c r="H46" s="19"/>
      <c r="I46" s="19"/>
      <c r="J46" s="17"/>
      <c r="K46" s="17"/>
      <c r="L46" s="17"/>
      <c r="M46" s="17"/>
      <c r="N46" s="17"/>
    </row>
    <row r="47" spans="1:20" s="1" customFormat="1" ht="15" x14ac:dyDescent="0.25">
      <c r="E47" s="17"/>
      <c r="G47" s="17"/>
      <c r="H47" s="19"/>
      <c r="I47" s="19"/>
      <c r="J47" s="17"/>
      <c r="K47" s="17"/>
      <c r="L47" s="17"/>
      <c r="M47" s="17"/>
      <c r="N47" s="17"/>
    </row>
    <row r="48" spans="1:20" s="32" customFormat="1" ht="36" customHeight="1" x14ac:dyDescent="0.25">
      <c r="B48" s="33" t="s">
        <v>14</v>
      </c>
      <c r="C48" s="33"/>
      <c r="D48" s="1" t="s">
        <v>73</v>
      </c>
      <c r="E48" s="34" t="s">
        <v>72</v>
      </c>
      <c r="F48" s="33"/>
      <c r="G48" s="35"/>
      <c r="H48" s="36"/>
      <c r="I48" s="36"/>
      <c r="J48" s="35"/>
      <c r="K48" s="35"/>
      <c r="L48" s="35"/>
      <c r="M48" s="35"/>
      <c r="N48" s="35"/>
    </row>
    <row r="49" spans="2:14" s="32" customFormat="1" ht="18" x14ac:dyDescent="0.25">
      <c r="B49" s="33"/>
      <c r="C49" s="33"/>
      <c r="D49" s="1"/>
      <c r="E49" s="34"/>
      <c r="F49" s="33"/>
      <c r="G49" s="35"/>
      <c r="H49" s="36"/>
      <c r="I49" s="36"/>
      <c r="J49" s="35"/>
      <c r="K49" s="35"/>
      <c r="L49" s="35"/>
      <c r="M49" s="35"/>
      <c r="N49" s="35"/>
    </row>
    <row r="50" spans="2:14" s="32" customFormat="1" ht="18" x14ac:dyDescent="0.25">
      <c r="B50" s="33"/>
      <c r="C50" s="33"/>
      <c r="D50" s="1"/>
      <c r="E50" s="34"/>
      <c r="F50" s="33"/>
      <c r="G50" s="35"/>
      <c r="H50" s="36"/>
      <c r="I50" s="36"/>
      <c r="J50" s="35"/>
      <c r="K50" s="35"/>
      <c r="L50" s="35"/>
      <c r="M50" s="35"/>
      <c r="N50" s="35"/>
    </row>
    <row r="51" spans="2:14" s="32" customFormat="1" ht="18" x14ac:dyDescent="0.25">
      <c r="B51" s="33" t="s">
        <v>15</v>
      </c>
      <c r="C51" s="33"/>
      <c r="D51" s="1" t="s">
        <v>73</v>
      </c>
      <c r="E51" s="34" t="s">
        <v>16</v>
      </c>
      <c r="F51" s="33"/>
      <c r="G51" s="35"/>
      <c r="H51" s="36"/>
      <c r="I51" s="36"/>
      <c r="J51" s="35"/>
      <c r="K51" s="35"/>
      <c r="L51" s="35"/>
      <c r="M51" s="35"/>
      <c r="N51" s="35"/>
    </row>
    <row r="52" spans="2:14" s="32" customFormat="1" ht="18" x14ac:dyDescent="0.25">
      <c r="B52" s="33"/>
      <c r="C52" s="33"/>
      <c r="D52" s="1"/>
      <c r="E52" s="34"/>
      <c r="F52" s="33"/>
      <c r="G52" s="35"/>
      <c r="H52" s="36"/>
      <c r="I52" s="36"/>
      <c r="J52" s="35"/>
      <c r="K52" s="35"/>
      <c r="L52" s="35"/>
      <c r="M52" s="35"/>
      <c r="N52" s="35"/>
    </row>
    <row r="53" spans="2:14" s="32" customFormat="1" ht="18" x14ac:dyDescent="0.25">
      <c r="B53" s="33" t="s">
        <v>17</v>
      </c>
      <c r="C53" s="33"/>
      <c r="D53" s="1" t="s">
        <v>73</v>
      </c>
      <c r="E53" s="34" t="s">
        <v>71</v>
      </c>
      <c r="F53" s="33"/>
      <c r="G53" s="35"/>
      <c r="H53" s="36"/>
      <c r="I53" s="36"/>
      <c r="J53" s="35"/>
      <c r="K53" s="35"/>
      <c r="L53" s="35"/>
      <c r="M53" s="35"/>
      <c r="N53" s="35"/>
    </row>
    <row r="54" spans="2:14" s="29" customFormat="1" x14ac:dyDescent="0.3">
      <c r="B54" s="2"/>
      <c r="C54" s="2"/>
      <c r="D54" s="1"/>
      <c r="E54" s="27"/>
      <c r="F54" s="2"/>
      <c r="G54" s="30"/>
      <c r="H54" s="31"/>
      <c r="I54" s="31"/>
      <c r="J54" s="30"/>
      <c r="K54" s="30"/>
      <c r="L54" s="30"/>
      <c r="M54" s="30"/>
      <c r="N54" s="30"/>
    </row>
    <row r="55" spans="2:14" x14ac:dyDescent="0.3">
      <c r="D55" s="1"/>
    </row>
  </sheetData>
  <mergeCells count="15">
    <mergeCell ref="A6:N6"/>
    <mergeCell ref="O9:Q9"/>
    <mergeCell ref="R9:T9"/>
    <mergeCell ref="I9:I10"/>
    <mergeCell ref="J9:J10"/>
    <mergeCell ref="L9:N9"/>
    <mergeCell ref="K9:K10"/>
    <mergeCell ref="F9:F10"/>
    <mergeCell ref="G9:G10"/>
    <mergeCell ref="H9:H10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3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zoomScale="70" zoomScaleNormal="70" workbookViewId="0">
      <pane xSplit="4" ySplit="10" topLeftCell="L11" activePane="bottomRight" state="frozen"/>
      <selection pane="topRight" activeCell="E1" sqref="E1"/>
      <selection pane="bottomLeft" activeCell="A11" sqref="A11"/>
      <selection pane="bottomRight" activeCell="O34" sqref="O34"/>
    </sheetView>
  </sheetViews>
  <sheetFormatPr defaultRowHeight="18.75" outlineLevelRow="1" x14ac:dyDescent="0.3"/>
  <cols>
    <col min="1" max="1" width="5.09765625" style="29" customWidth="1"/>
    <col min="2" max="2" width="17.59765625" style="29" customWidth="1"/>
    <col min="3" max="3" width="28.8984375" style="29" customWidth="1"/>
    <col min="4" max="4" width="32.296875" style="29" customWidth="1"/>
    <col min="5" max="5" width="12.796875" style="30" customWidth="1"/>
    <col min="6" max="6" width="10.19921875" style="29" customWidth="1"/>
    <col min="7" max="7" width="12.69921875" style="30" customWidth="1"/>
    <col min="8" max="8" width="18.69921875" style="31" customWidth="1"/>
    <col min="9" max="9" width="12.296875" style="31" customWidth="1"/>
    <col min="10" max="10" width="14" style="30" customWidth="1"/>
    <col min="11" max="11" width="13.3984375" style="30" customWidth="1"/>
    <col min="12" max="12" width="17.59765625" style="30" bestFit="1" customWidth="1"/>
    <col min="13" max="13" width="17.59765625" style="30" customWidth="1"/>
    <col min="14" max="16384" width="8.796875" style="29"/>
  </cols>
  <sheetData>
    <row r="1" spans="1:21" ht="19.5" thickBot="1" x14ac:dyDescent="0.35"/>
    <row r="2" spans="1:21" x14ac:dyDescent="0.3">
      <c r="K2" s="60" t="s">
        <v>94</v>
      </c>
      <c r="L2" s="29"/>
      <c r="M2" s="73" t="s">
        <v>99</v>
      </c>
      <c r="N2" s="74"/>
      <c r="O2" s="74"/>
      <c r="P2" s="74"/>
      <c r="Q2" s="74"/>
      <c r="R2" s="75"/>
      <c r="S2" s="62"/>
      <c r="T2" s="63"/>
      <c r="U2" s="61"/>
    </row>
    <row r="3" spans="1:21" x14ac:dyDescent="0.3">
      <c r="K3" s="61"/>
      <c r="L3" s="29"/>
      <c r="M3" s="76"/>
      <c r="N3" s="77"/>
      <c r="O3" s="77"/>
      <c r="P3" s="77"/>
      <c r="Q3" s="77"/>
      <c r="R3" s="78"/>
      <c r="S3" s="60"/>
      <c r="T3" s="60"/>
      <c r="U3" s="61"/>
    </row>
    <row r="4" spans="1:21" x14ac:dyDescent="0.3">
      <c r="K4" s="64" t="s">
        <v>95</v>
      </c>
      <c r="L4" s="29"/>
      <c r="M4" s="64"/>
      <c r="N4" s="64"/>
      <c r="O4" s="64"/>
      <c r="P4" s="64"/>
      <c r="Q4" s="64"/>
      <c r="R4" s="64"/>
      <c r="S4" s="64"/>
      <c r="T4" s="64"/>
      <c r="U4" s="64"/>
    </row>
    <row r="5" spans="1:21" x14ac:dyDescent="0.3">
      <c r="K5" s="64" t="s">
        <v>98</v>
      </c>
      <c r="L5" s="29"/>
      <c r="M5" s="64"/>
      <c r="N5" s="64"/>
      <c r="O5" s="64"/>
      <c r="P5" s="64"/>
      <c r="Q5" s="60"/>
      <c r="R5" s="60"/>
      <c r="S5" s="60"/>
      <c r="T5" s="60"/>
      <c r="U5" s="61"/>
    </row>
    <row r="6" spans="1:21" ht="26.25" customHeight="1" x14ac:dyDescent="0.3">
      <c r="A6" s="70" t="s">
        <v>97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8" spans="1:21" x14ac:dyDescent="0.3">
      <c r="L8" s="45" t="s">
        <v>82</v>
      </c>
    </row>
    <row r="9" spans="1:21" ht="41.25" customHeight="1" x14ac:dyDescent="0.3">
      <c r="A9" s="71" t="s">
        <v>0</v>
      </c>
      <c r="B9" s="71" t="s">
        <v>1</v>
      </c>
      <c r="C9" s="71" t="s">
        <v>2</v>
      </c>
      <c r="D9" s="71" t="s">
        <v>3</v>
      </c>
      <c r="E9" s="71" t="s">
        <v>4</v>
      </c>
      <c r="F9" s="71" t="s">
        <v>5</v>
      </c>
      <c r="G9" s="71" t="s">
        <v>6</v>
      </c>
      <c r="H9" s="72" t="s">
        <v>7</v>
      </c>
      <c r="I9" s="72" t="s">
        <v>8</v>
      </c>
      <c r="J9" s="71" t="s">
        <v>9</v>
      </c>
      <c r="K9" s="71" t="s">
        <v>10</v>
      </c>
      <c r="L9" s="71" t="s">
        <v>11</v>
      </c>
      <c r="M9" s="71"/>
    </row>
    <row r="10" spans="1:21" ht="30.75" customHeight="1" x14ac:dyDescent="0.3">
      <c r="A10" s="71"/>
      <c r="B10" s="71"/>
      <c r="C10" s="71"/>
      <c r="D10" s="71"/>
      <c r="E10" s="71"/>
      <c r="F10" s="71"/>
      <c r="G10" s="71"/>
      <c r="H10" s="72"/>
      <c r="I10" s="72"/>
      <c r="J10" s="71"/>
      <c r="K10" s="71"/>
      <c r="L10" s="46">
        <v>2017</v>
      </c>
      <c r="M10" s="46">
        <v>2018</v>
      </c>
    </row>
    <row r="11" spans="1:21" ht="112.5" x14ac:dyDescent="0.3">
      <c r="A11" s="47" t="s">
        <v>96</v>
      </c>
      <c r="B11" s="47" t="s">
        <v>12</v>
      </c>
      <c r="C11" s="47" t="s">
        <v>56</v>
      </c>
      <c r="D11" s="47" t="s">
        <v>79</v>
      </c>
      <c r="E11" s="46" t="s">
        <v>20</v>
      </c>
      <c r="F11" s="48">
        <v>1</v>
      </c>
      <c r="G11" s="49" t="s">
        <v>81</v>
      </c>
      <c r="H11" s="50" t="s">
        <v>21</v>
      </c>
      <c r="I11" s="50" t="s">
        <v>13</v>
      </c>
      <c r="J11" s="51">
        <v>317070941.25459999</v>
      </c>
      <c r="K11" s="51">
        <v>355119454.20515203</v>
      </c>
      <c r="L11" s="52">
        <v>189652113.56960002</v>
      </c>
      <c r="M11" s="52">
        <v>127418827.68499999</v>
      </c>
    </row>
    <row r="12" spans="1:21" x14ac:dyDescent="0.3">
      <c r="A12" s="53"/>
      <c r="B12" s="53"/>
      <c r="C12" s="53"/>
      <c r="D12" s="65"/>
      <c r="E12" s="54"/>
      <c r="F12" s="55"/>
      <c r="G12" s="56"/>
      <c r="H12" s="57"/>
      <c r="I12" s="58"/>
      <c r="J12" s="59"/>
      <c r="K12" s="59"/>
      <c r="L12" s="59"/>
      <c r="M12" s="59"/>
    </row>
    <row r="13" spans="1:21" hidden="1" outlineLevel="1" x14ac:dyDescent="0.3">
      <c r="A13" s="53"/>
      <c r="B13" s="53"/>
      <c r="C13" s="53"/>
      <c r="D13" s="53"/>
      <c r="E13" s="54"/>
      <c r="F13" s="55"/>
      <c r="G13" s="56"/>
      <c r="H13" s="57"/>
      <c r="I13" s="58"/>
      <c r="J13" s="59"/>
      <c r="K13" s="59"/>
      <c r="L13" s="59"/>
      <c r="M13" s="59"/>
    </row>
    <row r="14" spans="1:21" hidden="1" outlineLevel="1" x14ac:dyDescent="0.3">
      <c r="A14" s="53"/>
      <c r="B14" s="53"/>
      <c r="C14" s="53"/>
      <c r="D14" s="53"/>
      <c r="E14" s="54"/>
      <c r="F14" s="55"/>
      <c r="G14" s="56"/>
      <c r="H14" s="57"/>
      <c r="I14" s="58"/>
      <c r="J14" s="59"/>
      <c r="K14" s="59"/>
      <c r="L14" s="59"/>
      <c r="M14" s="59"/>
    </row>
    <row r="15" spans="1:21" hidden="1" outlineLevel="1" x14ac:dyDescent="0.3"/>
    <row r="16" spans="1:21" hidden="1" outlineLevel="1" x14ac:dyDescent="0.3"/>
    <row r="17" spans="2:6" hidden="1" outlineLevel="1" x14ac:dyDescent="0.3">
      <c r="B17" s="2"/>
      <c r="C17" s="2"/>
      <c r="E17" s="27"/>
      <c r="F17" s="2"/>
    </row>
    <row r="18" spans="2:6" hidden="1" outlineLevel="1" x14ac:dyDescent="0.3">
      <c r="B18" s="2"/>
      <c r="C18" s="2"/>
      <c r="E18" s="27"/>
      <c r="F18" s="2"/>
    </row>
    <row r="19" spans="2:6" hidden="1" outlineLevel="1" x14ac:dyDescent="0.3">
      <c r="B19" s="2" t="s">
        <v>15</v>
      </c>
      <c r="C19" s="29" t="s">
        <v>73</v>
      </c>
      <c r="D19" s="27" t="s">
        <v>16</v>
      </c>
      <c r="E19" s="29"/>
      <c r="F19" s="2"/>
    </row>
    <row r="20" spans="2:6" hidden="1" outlineLevel="1" x14ac:dyDescent="0.3">
      <c r="B20" s="2"/>
      <c r="E20" s="27"/>
      <c r="F20" s="2"/>
    </row>
    <row r="21" spans="2:6" hidden="1" outlineLevel="1" x14ac:dyDescent="0.3">
      <c r="B21" s="2" t="s">
        <v>17</v>
      </c>
      <c r="C21" s="29" t="s">
        <v>73</v>
      </c>
      <c r="D21" s="27" t="s">
        <v>71</v>
      </c>
      <c r="E21" s="29"/>
      <c r="F21" s="2"/>
    </row>
    <row r="22" spans="2:6" hidden="1" outlineLevel="1" x14ac:dyDescent="0.3">
      <c r="B22" s="2"/>
      <c r="C22" s="2"/>
      <c r="E22" s="27"/>
      <c r="F22" s="2"/>
    </row>
    <row r="23" spans="2:6" hidden="1" outlineLevel="1" x14ac:dyDescent="0.3"/>
    <row r="24" spans="2:6" hidden="1" outlineLevel="1" x14ac:dyDescent="0.3"/>
    <row r="25" spans="2:6" hidden="1" outlineLevel="1" x14ac:dyDescent="0.3"/>
    <row r="26" spans="2:6" collapsed="1" x14ac:dyDescent="0.3"/>
  </sheetData>
  <mergeCells count="14">
    <mergeCell ref="M2:R3"/>
    <mergeCell ref="A6:M6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M9"/>
  </mergeCells>
  <pageMargins left="0.70866141732283472" right="0.70866141732283472" top="0.74803149606299213" bottom="0.74803149606299213" header="0.31496062992125984" footer="0.31496062992125984"/>
  <pageSetup scale="4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ПДЗ</vt:lpstr>
      <vt:lpstr>Лист1!Область_печати</vt:lpstr>
      <vt:lpstr>ПДЗ!Область_печати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Brimzharova Saule</dc:creator>
  <cp:lastModifiedBy>Embergenova Elmira</cp:lastModifiedBy>
  <cp:lastPrinted>2017-05-02T05:06:47Z</cp:lastPrinted>
  <dcterms:created xsi:type="dcterms:W3CDTF">2016-03-31T12:02:21Z</dcterms:created>
  <dcterms:modified xsi:type="dcterms:W3CDTF">2017-05-10T12:41:09Z</dcterms:modified>
</cp:coreProperties>
</file>